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<sst xmlns="http://schemas.openxmlformats.org/spreadsheetml/2006/main" count="503" uniqueCount="264">
  <si>
    <t>Код КБК</t>
  </si>
  <si>
    <t>Кассовое исполнение за год предшествующий текущему финансовому году</t>
  </si>
  <si>
    <t>Оценка исполнения на текущий финансовый год</t>
  </si>
  <si>
    <t>Прогноз на очередной финансовый год</t>
  </si>
  <si>
    <t>Отклонение
графы 4 от графы 3</t>
  </si>
  <si>
    <t>Примечание по отклонению графы 4 от графы 3</t>
  </si>
  <si>
    <t>Отклонение
графы 5 от графы 4</t>
  </si>
  <si>
    <t>Примечание по отклонению
графы 5 от графы 4</t>
  </si>
  <si>
    <t>1</t>
  </si>
  <si>
    <t>2</t>
  </si>
  <si>
    <t>3</t>
  </si>
  <si>
    <t>4</t>
  </si>
  <si>
    <t>5</t>
  </si>
  <si>
    <t>6=4-3</t>
  </si>
  <si>
    <t>7</t>
  </si>
  <si>
    <t>8=5-4</t>
  </si>
  <si>
    <t>9</t>
  </si>
  <si>
    <t>I. Доходы бюджета - Всего</t>
  </si>
  <si>
    <t>1. Налоговые доходы, в том числе</t>
  </si>
  <si>
    <t>1.1. Налоги на прибыль, доходы</t>
  </si>
  <si>
    <t>1.2 Налоги на товары (работы, услуги), реализуемые на территории РФ</t>
  </si>
  <si>
    <t>1.3. Налоги на совокупный доход</t>
  </si>
  <si>
    <t>1.4. Налоги на имущество</t>
  </si>
  <si>
    <t>1.5. Государственная пошлина</t>
  </si>
  <si>
    <t>1.6. Задолженность и перерасчеты по отмененным налогам, сборам и иным обязательным платежам</t>
  </si>
  <si>
    <t>2. Неналоговые доходы, в том числе</t>
  </si>
  <si>
    <t>2.1. Доходы от использования имущества, находящегося в государственной и муниципальной собственности</t>
  </si>
  <si>
    <t>2.2. Платежи при пользовании природными ресурсами</t>
  </si>
  <si>
    <t>2.3. Доходы от оказания платных услуг (работ) и компенсации затрат государства</t>
  </si>
  <si>
    <t>2.4. Доходы от продажи материальных и нематериальных активов</t>
  </si>
  <si>
    <t>2.5. Административные платежи и сборы</t>
  </si>
  <si>
    <t>2.6. Штрафы, санкции, возмещение ущерба</t>
  </si>
  <si>
    <t>2.7. Прочие неналоговые доходы</t>
  </si>
  <si>
    <t>3. Безвозмездные поступления, в том числе</t>
  </si>
  <si>
    <t>3.1. Выравнивающие и балансирующие трансферты</t>
  </si>
  <si>
    <t>3.2. Целевые межбюджетные трансферты</t>
  </si>
  <si>
    <t>3.3. Спонсорская помощь</t>
  </si>
  <si>
    <t>3.4. МБТ от городских и сельских поселений в соответствии с переданными полномочиями</t>
  </si>
  <si>
    <t>II. Расходы бюджета</t>
  </si>
  <si>
    <t>а) Расходы бюджета - ИТОГО за счет собственных средств и ВБТ, МБТ от городских и сельских поселений в соответствии с переданными полномочиями, в том числе:</t>
  </si>
  <si>
    <t>1. Общегосударственные вопросы</t>
  </si>
  <si>
    <t>0100</t>
  </si>
  <si>
    <t>Функционирование высшего должностного лица МО</t>
  </si>
  <si>
    <t>0102</t>
  </si>
  <si>
    <t>Функционирование представительных органов МО</t>
  </si>
  <si>
    <t>0103</t>
  </si>
  <si>
    <t>Функционирование местных администраций</t>
  </si>
  <si>
    <t>0104</t>
  </si>
  <si>
    <t>Судебная система</t>
  </si>
  <si>
    <t>0105</t>
  </si>
  <si>
    <t xml:space="preserve">Обеспечение деятельности финансовых органов 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</si>
  <si>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</si>
  <si>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</si>
  <si>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</si>
  <si>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</si>
  <si>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</si>
  <si>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</si>
  <si>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</si>
  <si>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2. Национальная оборона</t>
  </si>
  <si>
    <t>0200</t>
  </si>
  <si>
    <t>Мобилизационная и вневойсковая подготовка</t>
  </si>
  <si>
    <t>0203</t>
  </si>
  <si>
    <t>3. 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</si>
  <si>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</si>
  <si>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</si>
  <si>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</si>
  <si>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ЧС</t>
  </si>
  <si>
    <t>0309</t>
  </si>
  <si>
    <t>Обеспечение пожарной безопасности</t>
  </si>
  <si>
    <t>0310</t>
  </si>
  <si>
    <t>Другие вопросы в области нац. безопасности</t>
  </si>
  <si>
    <t>0314</t>
  </si>
  <si>
    <t>4. 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</si>
  <si>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</si>
  <si>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</si>
  <si>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</si>
  <si>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</si>
  <si>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</si>
  <si>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</si>
  <si>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</si>
  <si>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</si>
  <si>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</si>
  <si>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</si>
  <si>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</si>
  <si>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</si>
  <si>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</si>
  <si>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</si>
  <si>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</si>
  <si>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5. 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</si>
  <si>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</si>
  <si>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</si>
  <si>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</si>
  <si>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</si>
  <si>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</si>
  <si>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</si>
  <si>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</si>
  <si>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ЖКХ</t>
  </si>
  <si>
    <t>0505</t>
  </si>
  <si>
    <t>6. Охрана окружающей среды</t>
  </si>
  <si>
    <t>0600</t>
  </si>
  <si>
    <t>0603</t>
  </si>
  <si>
    <t>Другие вопросы в области охраны окруж.среды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</si>
  <si>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</si>
  <si>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</si>
  <si>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</si>
  <si>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</si>
  <si>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</si>
  <si>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</si>
  <si>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</si>
  <si>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</si>
  <si>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</si>
  <si>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</si>
  <si>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</si>
  <si>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9. Здравоохранение</t>
  </si>
  <si>
    <t>0900</t>
  </si>
  <si>
    <t>10. 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</si>
  <si>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</si>
  <si>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</si>
  <si>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</si>
  <si>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</si>
  <si>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</si>
  <si>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</si>
  <si>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</si>
  <si>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 политики</t>
  </si>
  <si>
    <t>1006</t>
  </si>
  <si>
    <t>1100</t>
  </si>
  <si>
    <t>1101</t>
  </si>
  <si>
    <t>1102</t>
  </si>
  <si>
    <t>1105</t>
  </si>
  <si>
    <t>12. 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</si>
  <si>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</si>
  <si>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</si>
  <si>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</si>
  <si>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</si>
  <si>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</si>
  <si>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СМИ</t>
  </si>
  <si>
    <t>1204</t>
  </si>
  <si>
    <t>13. Обслуживание муниципального долга</t>
  </si>
  <si>
    <t>1300</t>
  </si>
  <si>
    <t>14. 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</si>
  <si>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</si>
  <si>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</si>
  <si>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</si>
  <si>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</si>
  <si>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</si>
  <si>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</si>
  <si>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</si>
  <si>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б) Расходы бюджета - ИТОГО за счет целевых межбюджетных трансфертов</t>
  </si>
  <si>
    <t>III. Результат исполнения бюджета (дефицит "--", профицит "+")</t>
  </si>
  <si>
    <t>а) Результат исполнения бюджета за счет собственных средств (дефицит "--", профицит "+")</t>
  </si>
  <si>
    <t>б) Результат исполнения бюджета за счет целевых средств (дефицит "--", профицит "+")</t>
  </si>
  <si>
    <t xml:space="preserve"> IV. Остатки собственных средств (без учета целевых) на 1 января соответствующего года)</t>
  </si>
  <si>
    <t>V. Просроченная кредиторская задолженность бюджета, казенных, бюджетных и автономных учреждений на 1 января соответствующего года</t>
  </si>
  <si>
    <t xml:space="preserve"> -прочие расходы</t>
  </si>
  <si>
    <t xml:space="preserve"> -в том числе заработная плата+налоги</t>
  </si>
  <si>
    <t xml:space="preserve"> -расходы на содержание муниципального имущества</t>
  </si>
  <si>
    <t>10</t>
  </si>
  <si>
    <t>х</t>
  </si>
  <si>
    <t xml:space="preserve"> -в том числе депутатский фонд</t>
  </si>
  <si>
    <t xml:space="preserve"> -оплата коммунальных услуг</t>
  </si>
  <si>
    <t>в том числе в части содержания ОМСУ и учреждений, выполняющих их функции</t>
  </si>
  <si>
    <t xml:space="preserve">  Охрана объектов растительного и животного мира и среды их обитания</t>
  </si>
  <si>
    <t xml:space="preserve"> -прочие текущие расходы (за исключением ремонтных работ)</t>
  </si>
  <si>
    <t xml:space="preserve"> -расходы на текущие ремонтные работы</t>
  </si>
  <si>
    <t xml:space="preserve"> -расходы инвестиционного характера</t>
  </si>
  <si>
    <t>в том числе в части содержания иных учреждений в сфере образования</t>
  </si>
  <si>
    <t>Количество месяцев, на которые заложены средства в бюджете на очередной финансовый год
(в части оплаты труда дополнительно указать размер МРОТ, который обеспечен в бюджете)</t>
  </si>
  <si>
    <t>ИТОГО налоговые и неналоговые доходы + выравнивающие и балансирующие трансферты + спонсорская помощь + МБТ от городских и сельских поселений в соответствии с переданными полномочиями</t>
  </si>
  <si>
    <t xml:space="preserve">7. Образование </t>
  </si>
  <si>
    <t xml:space="preserve">Дошкольное образование </t>
  </si>
  <si>
    <t xml:space="preserve"> -в том числе заработная плата+налоги*</t>
  </si>
  <si>
    <t xml:space="preserve"> -оплата коммунальных услуг*</t>
  </si>
  <si>
    <t xml:space="preserve"> -закупка дров, угля*</t>
  </si>
  <si>
    <t xml:space="preserve"> -питание детей*</t>
  </si>
  <si>
    <t xml:space="preserve"> -прочие текущие расходы (за исключением ремонтных работ)*</t>
  </si>
  <si>
    <t xml:space="preserve"> -расходы на текущие ремонтные работы*</t>
  </si>
  <si>
    <t xml:space="preserve"> -расходы инвестиционного характера*</t>
  </si>
  <si>
    <t xml:space="preserve">Общее образование </t>
  </si>
  <si>
    <t xml:space="preserve"> -подвоз учащихся*</t>
  </si>
  <si>
    <t xml:space="preserve">Дополнительное образование </t>
  </si>
  <si>
    <t xml:space="preserve">Профессиональная подготовка, переподготовка и повышение квалификации  </t>
  </si>
  <si>
    <t xml:space="preserve">Молодежная политика </t>
  </si>
  <si>
    <t xml:space="preserve">Другие вопросы в области образования  </t>
  </si>
  <si>
    <t xml:space="preserve"> -расходы на заработную плату+налоги*</t>
  </si>
  <si>
    <t xml:space="preserve"> -прочие расходы*</t>
  </si>
  <si>
    <t xml:space="preserve">8. Культура и кинематография </t>
  </si>
  <si>
    <t xml:space="preserve">Культура  </t>
  </si>
  <si>
    <t xml:space="preserve">Другие вопросы в области культуры, кинематографии  </t>
  </si>
  <si>
    <t xml:space="preserve">11. Физическая культура и спорт  </t>
  </si>
  <si>
    <t xml:space="preserve"> Физическая культура </t>
  </si>
  <si>
    <t xml:space="preserve">Массовый спорт </t>
  </si>
  <si>
    <t>* необходимо в том числе обеспечить указание расходов по направлениям в части бюджетных и автономных учреждений (расшифоровать субсидии на иные цели
 и субсидии на финасовое обеспечение выполнения муниципального задания на оказание услуг (выполнение работ)).</t>
  </si>
  <si>
    <t xml:space="preserve">Другие вопросы в области физической культуры и спорта </t>
  </si>
  <si>
    <t>Информация об исполнении бюджета муниципального образования Тверской области за год, предшествующий текущему финансовому году, оценке ожидаемого исполнения бюджета муниципального образования Тверской области  на текущий финансовый год и прогноз бюджета муниципального образования Тверской области на очередной финансовый год
    " Максатихинский  район"</t>
  </si>
  <si>
    <t>Поступление задолженности прошлых лет от плательщиков : МУП ТС 485,1 тыс.руб., ПК МЛПК 409,0 тыс.руб., УК МТК 303,7 тыс.руб., МУП "КОММСЕРВИС" 737,8 тыс.руб., Бычков А.В.  121,6 тыс.руб.</t>
  </si>
  <si>
    <t>Плановые назначения расчитаны  администратором доходов исходя из  прогнозируемого фонда оплаты труда</t>
  </si>
  <si>
    <t>Изменение нормативов отчислений</t>
  </si>
  <si>
    <t>Отмена с 1 января 2021г ЕНВД, поступление в бюджет муниципального района отчислений от УСН, значительное увеличение поступлений по ПСН.</t>
  </si>
  <si>
    <t>Изменение нормативов отчислений по УСН.</t>
  </si>
  <si>
    <t>Уменьшение количества обращений в судебные органы</t>
  </si>
  <si>
    <t>Плановые назначения расчитаны администратором доходов.</t>
  </si>
  <si>
    <t>Оценка проведена по количеству действующих договоров с учетом вновь заключенных и расторгнутых договоров, а также с учетом сумм полученных в результате проведения претензионно-исковой работы.</t>
  </si>
  <si>
    <t>Поступление доходов запланировано администратором по предполагаемому количеству договоров аренды и ожидаемому погашению имеющейся задолженности.</t>
  </si>
  <si>
    <t>Поступление доходов запланировано администратором.</t>
  </si>
  <si>
    <t xml:space="preserve">Поступление доходов от оказания платных услуг ожидается на уровне запланированном администратором исходя из оценки поступления обращений и ставками  платных услуг. </t>
  </si>
  <si>
    <t>Увеличение обращений за выкупом земельных участков, приведение в соответствие площадей используемых земельных участков, продажа муниципального имущества в соответствии с утвержденной Программой приватизации.</t>
  </si>
  <si>
    <t>Поступление доходов запланировано в соответствии с ожидаемым количеством обращений за выкупом земельных участков и увеличением площадей земельных участков.</t>
  </si>
  <si>
    <t>Уменьшение количества выявленных нарушений.</t>
  </si>
  <si>
    <t>Поступление штрафов запланировано администраторами доходов.</t>
  </si>
  <si>
    <t>Разовое поступление доходов от предоставления помещения для проведения мероприятия.</t>
  </si>
  <si>
    <t>в 2020 году была выплачена премия по распоряжению Губернатора</t>
  </si>
  <si>
    <t>с 2021 года производятся выплаты компенсации, связанные с депутатской деятельностью</t>
  </si>
  <si>
    <t>изменение надбавок к долж.окладу за выслугу лет, перенос ассигнований с рп 0304 работникам Загса, за счет местного бюджета(80т.р.)</t>
  </si>
  <si>
    <t>изменение надбавок к долж. окладу за выслугу лет, сложность и напряженность</t>
  </si>
  <si>
    <t>рост цен на канц. товары, хоз. товары,ГСМ</t>
  </si>
  <si>
    <t>доп. выборы в СД района</t>
  </si>
  <si>
    <t>в 2020 году средства резервного фонда не распределялись</t>
  </si>
  <si>
    <t>рост тарифов ЖКУ</t>
  </si>
  <si>
    <t>В 2020г. Было произведено погашение исполнительного листа в сумме 4500 т.р.</t>
  </si>
  <si>
    <t>в 2021г. приобретена машина для КУ "Служба обеспечения деятельности, ЕДДС" в сумме 985 т.р., произведен  ремонт системы отопления  579 т.р., рост цен на ГСМ, хоз.товары</t>
  </si>
  <si>
    <t>увеличение МРОТ</t>
  </si>
  <si>
    <t>увеличение стоимости 1 км. По транспортному обслуживанию населения на пригородных маршрутах(расчет Мин.транспорта ТО)</t>
  </si>
  <si>
    <t>рост отчислений от акцизов направлен на содержание дорог в сумме 1300т.р, увеличение расходов на капит. Ремонт дорог, дворовых территорий и мер-й БДД на условиях софинансирования с обл.бюджетом на 2264,2 т.р.</t>
  </si>
  <si>
    <t>в 2021 году планируется выполнение остатка работ по кадастровой оценке земель лесного фонда</t>
  </si>
  <si>
    <t>в 2021г. выкуплена из конкурсной массы котельная в п. Ривицкий в сумме 1271 т.р. и проводится ремонт котельной в д.Каменка на условиях софин.с обл. бюджетом</t>
  </si>
  <si>
    <t>в 2020г. закончено строительство д.сада в п.Ривицкий</t>
  </si>
  <si>
    <t>в 2021г. Произведен ремонт кровли здания Управления в сумме 1944 т.р., замена окон 148т.р.  и ремонт системы отопления и водоснабжения в сумме 234т.р.</t>
  </si>
  <si>
    <t xml:space="preserve">в 2021 произведены выплаты  3 почетным гражданам, а в 2020г. одному </t>
  </si>
  <si>
    <t xml:space="preserve">субсидии молодым семьям на приобретение жилья, в 2021г. увеличение семей на 2 </t>
  </si>
  <si>
    <t>в 2020г. приобретение микроавтобуса для ФОКа в сумме 2992 т.р.</t>
  </si>
  <si>
    <t xml:space="preserve">в 2021г. дополнительно запланированы расходы на приобретение спорт. Формы для команд района </t>
  </si>
  <si>
    <t>в 2020г. выделяли средства на приобретение компьютера для редакции</t>
  </si>
  <si>
    <t>в 2020г. Сложилась значительная экономия по ФОТ (вакансия специалиста 5 мес. и длит. Больничный)</t>
  </si>
  <si>
    <t>рост цен на связь и увеличение стоимости обслуживания видеотерминала ЕДДС, приобретение генератора, на случай ЧС в сумме 52т.р.</t>
  </si>
  <si>
    <t>рост тарифов ЖКУ, уменьшение расходов по отоплению(теплая зима)</t>
  </si>
  <si>
    <t>в 2021 году возрасли расходы на межевание зем. Участков (подготовка к строительству) и тех. инвентариз. имущества (продажа автобусов)</t>
  </si>
  <si>
    <t>увеличены расходы на организацию мероприятий по детской занятости, в связи с запросом центра занятости</t>
  </si>
  <si>
    <t>увеличены расходы на приобретение 8 комплектов формы для диспетчеров ЕДДСв сумме 24т.р. и рост цен</t>
  </si>
  <si>
    <t xml:space="preserve">сокращение объемов, выделяемых средств из областного бюджета на ремонт автомобильных дорог, дворовых территорий и мер-й по БДД </t>
  </si>
  <si>
    <t xml:space="preserve">на 2022г. не предусмотрены средства на ремонт объектов теплоэнергетических комплексов, в связи с подготовкой ПСД в конце 2021г. </t>
  </si>
  <si>
    <t>13890 руб. 12 мес.</t>
  </si>
  <si>
    <t>рост тарифов ЖКУ,  пандемия (нерабочие дни) и уменьшение расходов по отоплению(теплая зима)</t>
  </si>
  <si>
    <t>12 мес.</t>
  </si>
  <si>
    <t>увеличение стоимости 1куб.м. дров до 1000 руб.</t>
  </si>
  <si>
    <t>увеличение ассигнований, связано с ростом цен на продукты питания и увеличения стоимости дето-дня в ДДУ на 20 руб., при невозможности повышения размера родит. Платы</t>
  </si>
  <si>
    <t>Расходы на проведение текущих ремонтов в учреждениях будут предусмотрены в течении 2022 года исходя из возможностей и срочной необходимости</t>
  </si>
  <si>
    <t>увеличение стоимости 1 км.подвоза школьников на 1 руб. в сумме 227,7 т.р. и сокращение размера субсидии из обл.бюджета на подвоз школьников  по сравнению с 2021 годом на 241,3 т.р.</t>
  </si>
  <si>
    <t>в 2020г. уменьшение расходов из-за нерабочих дней в период пандемии</t>
  </si>
  <si>
    <t>увеличение числа детей с ОВЗ</t>
  </si>
  <si>
    <t>в 2020г. уменьшение расходов из-за нерабочих дней в период пандемии и в 2021г. детей с ОВЗ перевели на 2раз.питание</t>
  </si>
  <si>
    <t>в 2021 году предусмотрены средства на изготовление проекта по строительству МСШ № 1</t>
  </si>
  <si>
    <t>на 2022г. Предусмотрены средства на участие в строительстве нового здания МСШ № 1</t>
  </si>
  <si>
    <t>увеличение стоимости дров</t>
  </si>
  <si>
    <t>в 2021г. Предусмотрены средства на изготовление ПСД по ремонту кровли ДШИ в сумме 276т.р, замена окон, ремонт септика, туалета ДДиЮ 550т., ремонт септика, туалета., обустройство лыжной трассы 860т.р., ремонт помещения ДЮСШ 40,8т.р.</t>
  </si>
  <si>
    <t>в 2020г. уменьшение расходов из-за пандемии</t>
  </si>
  <si>
    <t>в 2022 году увеличение расходов на организацию летнего отдыха на 125 т.р.  в связи с увеличением стоимости акариц. обработки и роста цен на хоз. Товары</t>
  </si>
  <si>
    <t>в 2020г. произведены выплаты сотрудникам в связи сюбилейными датами</t>
  </si>
  <si>
    <t>рост расходов связан с индексацией зар.платы с 01.10.20г. и увеличением размера МРОТ</t>
  </si>
  <si>
    <t>индексация зар.платы с 01.10.2020г. ,увеличение МРОТ</t>
  </si>
  <si>
    <t xml:space="preserve"> в 2020г. пандемия (нерабочие дни) и уменьшение расходов по отоплению(теплая зима)</t>
  </si>
  <si>
    <t xml:space="preserve">индексации размера гос. пенсии по старости </t>
  </si>
  <si>
    <t>в 2022 году не предусмотрены расходы на выплаты почетным гражданам</t>
  </si>
  <si>
    <t>в 2022 году предусмотрена выплата субсидии 1 семье. В настоящее время в очереди на получение 1 семья.</t>
  </si>
  <si>
    <t xml:space="preserve">с 1.09.2020г. введена ставка водителя , увеличение МРОТ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</si>
</sst>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left" vertical="center" wrapText="1" indent="1"/>
      <protection/>
    </xf>
    <xf numFmtId="49" fontId="0" fillId="33" borderId="10" xfId="0" applyNumberFormat="1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 wrapText="1"/>
      <protection locked="0"/>
    </xf>
    <xf numFmtId="4" fontId="0" fillId="33" borderId="10" xfId="0" applyNumberFormat="1" applyFill="1" applyBorder="1" applyAlignment="1" applyProtection="1">
      <alignment wrapText="1"/>
      <protection/>
    </xf>
    <xf numFmtId="49" fontId="29" fillId="9" borderId="10" xfId="0" applyNumberFormat="1" applyFont="1" applyFill="1" applyBorder="1" applyAlignment="1" applyProtection="1">
      <alignment vertical="center" wrapText="1"/>
      <protection/>
    </xf>
    <xf numFmtId="49" fontId="29" fillId="34" borderId="10" xfId="0" applyNumberFormat="1" applyFont="1" applyFill="1" applyBorder="1" applyAlignment="1" applyProtection="1">
      <alignment vertical="center" wrapText="1"/>
      <protection/>
    </xf>
    <xf numFmtId="166" fontId="29" fillId="9" borderId="10" xfId="0" applyNumberFormat="1" applyFont="1" applyFill="1" applyBorder="1" applyAlignment="1" applyProtection="1">
      <alignment vertical="center" wrapText="1"/>
      <protection/>
    </xf>
    <xf numFmtId="166" fontId="29" fillId="9" borderId="10" xfId="0" applyNumberFormat="1" applyFont="1" applyFill="1" applyBorder="1" applyAlignment="1" applyProtection="1">
      <alignment/>
      <protection/>
    </xf>
    <xf numFmtId="166" fontId="29" fillId="9" borderId="10" xfId="0" applyNumberFormat="1" applyFont="1" applyFill="1" applyBorder="1" applyAlignment="1" applyProtection="1">
      <alignment wrapText="1"/>
      <protection locked="0"/>
    </xf>
    <xf numFmtId="0" fontId="29" fillId="0" borderId="0" xfId="0" applyFont="1" applyAlignment="1" applyProtection="1">
      <alignment/>
      <protection/>
    </xf>
    <xf numFmtId="49" fontId="29" fillId="0" borderId="10" xfId="0" applyNumberFormat="1" applyFont="1" applyBorder="1" applyAlignment="1" applyProtection="1">
      <alignment wrapText="1"/>
      <protection/>
    </xf>
    <xf numFmtId="49" fontId="29" fillId="34" borderId="10" xfId="0" applyNumberFormat="1" applyFont="1" applyFill="1" applyBorder="1" applyAlignment="1" applyProtection="1">
      <alignment wrapText="1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0" xfId="0" applyNumberFormat="1" applyFont="1" applyFill="1" applyBorder="1" applyAlignment="1" applyProtection="1">
      <alignment/>
      <protection/>
    </xf>
    <xf numFmtId="166" fontId="29" fillId="0" borderId="10" xfId="0" applyNumberFormat="1" applyFon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horizontal="left" wrapText="1" indent="1"/>
      <protection/>
    </xf>
    <xf numFmtId="49" fontId="0" fillId="34" borderId="10" xfId="0" applyNumberFormat="1" applyFill="1" applyBorder="1" applyAlignment="1" applyProtection="1">
      <alignment horizontal="left" wrapText="1"/>
      <protection/>
    </xf>
    <xf numFmtId="166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/>
    </xf>
    <xf numFmtId="166" fontId="0" fillId="0" borderId="10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horizontal="left" vertical="center" wrapText="1" indent="1"/>
      <protection/>
    </xf>
    <xf numFmtId="49" fontId="0" fillId="34" borderId="10" xfId="0" applyNumberFormat="1" applyFill="1" applyBorder="1" applyAlignment="1" applyProtection="1">
      <alignment horizontal="left" vertical="center" wrapText="1"/>
      <protection/>
    </xf>
    <xf numFmtId="166" fontId="0" fillId="0" borderId="10" xfId="0" applyNumberForma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/>
    </xf>
    <xf numFmtId="166" fontId="29" fillId="0" borderId="10" xfId="0" applyNumberFormat="1" applyFont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left" vertical="center" wrapText="1" indent="1"/>
      <protection/>
    </xf>
    <xf numFmtId="49" fontId="0" fillId="16" borderId="10" xfId="0" applyNumberFormat="1" applyFill="1" applyBorder="1" applyAlignment="1" applyProtection="1">
      <alignment horizontal="left" vertical="center" wrapText="1" indent="1"/>
      <protection/>
    </xf>
    <xf numFmtId="166" fontId="0" fillId="16" borderId="10" xfId="0" applyNumberFormat="1" applyFill="1" applyBorder="1" applyAlignment="1" applyProtection="1">
      <alignment vertical="center" wrapText="1"/>
      <protection locked="0"/>
    </xf>
    <xf numFmtId="166" fontId="0" fillId="16" borderId="10" xfId="0" applyNumberFormat="1" applyFill="1" applyBorder="1" applyAlignment="1" applyProtection="1">
      <alignment/>
      <protection locked="0"/>
    </xf>
    <xf numFmtId="166" fontId="0" fillId="16" borderId="10" xfId="0" applyNumberFormat="1" applyFill="1" applyBorder="1" applyAlignment="1" applyProtection="1">
      <alignment/>
      <protection/>
    </xf>
    <xf numFmtId="166" fontId="0" fillId="16" borderId="10" xfId="0" applyNumberFormat="1" applyFill="1" applyBorder="1" applyAlignment="1" applyProtection="1">
      <alignment wrapText="1"/>
      <protection locked="0"/>
    </xf>
    <xf numFmtId="166" fontId="0" fillId="0" borderId="10" xfId="0" applyNumberFormat="1" applyFill="1" applyBorder="1" applyAlignment="1" applyProtection="1">
      <alignment/>
      <protection/>
    </xf>
    <xf numFmtId="166" fontId="0" fillId="0" borderId="10" xfId="0" applyNumberFormat="1" applyFill="1" applyBorder="1" applyAlignment="1" applyProtection="1">
      <alignment wrapText="1"/>
      <protection locked="0"/>
    </xf>
    <xf numFmtId="49" fontId="0" fillId="11" borderId="10" xfId="0" applyNumberFormat="1" applyFont="1" applyFill="1" applyBorder="1" applyAlignment="1" applyProtection="1">
      <alignment horizontal="left" vertical="center" wrapText="1" indent="1"/>
      <protection/>
    </xf>
    <xf numFmtId="166" fontId="0" fillId="11" borderId="10" xfId="0" applyNumberFormat="1" applyFont="1" applyFill="1" applyBorder="1" applyAlignment="1" applyProtection="1">
      <alignment vertical="center" wrapText="1"/>
      <protection/>
    </xf>
    <xf numFmtId="166" fontId="0" fillId="11" borderId="10" xfId="0" applyNumberFormat="1" applyFont="1" applyFill="1" applyBorder="1" applyAlignment="1" applyProtection="1">
      <alignment vertical="center" wrapText="1"/>
      <protection locked="0"/>
    </xf>
    <xf numFmtId="166" fontId="0" fillId="11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6" fontId="0" fillId="33" borderId="10" xfId="0" applyNumberFormat="1" applyFill="1" applyBorder="1" applyAlignment="1" applyProtection="1">
      <alignment vertical="center" wrapText="1"/>
      <protection/>
    </xf>
    <xf numFmtId="166" fontId="0" fillId="33" borderId="10" xfId="0" applyNumberFormat="1" applyFill="1" applyBorder="1" applyAlignment="1" applyProtection="1">
      <alignment/>
      <protection/>
    </xf>
    <xf numFmtId="166" fontId="0" fillId="33" borderId="10" xfId="0" applyNumberFormat="1" applyFill="1" applyBorder="1" applyAlignment="1" applyProtection="1">
      <alignment wrapText="1"/>
      <protection locked="0"/>
    </xf>
    <xf numFmtId="166" fontId="29" fillId="9" borderId="10" xfId="0" applyNumberFormat="1" applyFont="1" applyFill="1" applyBorder="1" applyAlignment="1" applyProtection="1">
      <alignment horizontal="right" vertical="center" wrapText="1"/>
      <protection/>
    </xf>
    <xf numFmtId="166" fontId="29" fillId="9" borderId="10" xfId="0" applyNumberFormat="1" applyFont="1" applyFill="1" applyBorder="1" applyAlignment="1" applyProtection="1">
      <alignment horizontal="right" vertical="center"/>
      <protection/>
    </xf>
    <xf numFmtId="166" fontId="29" fillId="9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11" borderId="10" xfId="0" applyNumberFormat="1" applyFont="1" applyFill="1" applyBorder="1" applyAlignment="1" applyProtection="1">
      <alignment vertical="center" wrapText="1"/>
      <protection/>
    </xf>
    <xf numFmtId="166" fontId="29" fillId="11" borderId="10" xfId="0" applyNumberFormat="1" applyFont="1" applyFill="1" applyBorder="1" applyAlignment="1" applyProtection="1">
      <alignment horizontal="right" vertical="center" wrapText="1"/>
      <protection/>
    </xf>
    <xf numFmtId="166" fontId="29" fillId="11" borderId="10" xfId="0" applyNumberFormat="1" applyFont="1" applyFill="1" applyBorder="1" applyAlignment="1" applyProtection="1">
      <alignment horizontal="right" vertical="center"/>
      <protection/>
    </xf>
    <xf numFmtId="166" fontId="29" fillId="11" borderId="10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10" xfId="0" applyNumberFormat="1" applyFont="1" applyFill="1" applyBorder="1" applyAlignment="1" applyProtection="1">
      <alignment horizontal="right" vertical="center"/>
      <protection/>
    </xf>
    <xf numFmtId="166" fontId="29" fillId="0" borderId="10" xfId="0" applyNumberFormat="1" applyFont="1" applyBorder="1" applyAlignment="1" applyProtection="1">
      <alignment horizontal="right" vertical="center"/>
      <protection/>
    </xf>
    <xf numFmtId="166" fontId="29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ill="1" applyBorder="1" applyAlignment="1" applyProtection="1">
      <alignment horizontal="right" vertical="center"/>
      <protection locked="0"/>
    </xf>
    <xf numFmtId="166" fontId="0" fillId="0" borderId="10" xfId="0" applyNumberFormat="1" applyBorder="1" applyAlignment="1" applyProtection="1">
      <alignment horizontal="right" vertical="center"/>
      <protection/>
    </xf>
    <xf numFmtId="166" fontId="0" fillId="0" borderId="10" xfId="0" applyNumberFormat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Border="1" applyAlignment="1" applyProtection="1">
      <alignment horizontal="left" wrapText="1"/>
      <protection/>
    </xf>
    <xf numFmtId="49" fontId="0" fillId="0" borderId="10" xfId="0" applyNumberFormat="1" applyFont="1" applyBorder="1" applyAlignment="1" applyProtection="1">
      <alignment horizontal="left" wrapText="1" indent="1"/>
      <protection/>
    </xf>
    <xf numFmtId="166" fontId="0" fillId="0" borderId="10" xfId="0" applyNumberFormat="1" applyFont="1" applyFill="1" applyBorder="1" applyAlignment="1" applyProtection="1">
      <alignment horizontal="right" vertical="center"/>
      <protection locked="0"/>
    </xf>
    <xf numFmtId="166" fontId="0" fillId="0" borderId="10" xfId="0" applyNumberFormat="1" applyFont="1" applyBorder="1" applyAlignment="1" applyProtection="1">
      <alignment horizontal="right" vertical="center"/>
      <protection/>
    </xf>
    <xf numFmtId="166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29" fillId="0" borderId="10" xfId="0" applyNumberFormat="1" applyFont="1" applyFill="1" applyBorder="1" applyAlignment="1" applyProtection="1">
      <alignment horizontal="right" vertical="center" wrapText="1"/>
      <protection/>
    </xf>
    <xf numFmtId="166" fontId="0" fillId="0" borderId="10" xfId="0" applyNumberFormat="1" applyFill="1" applyBorder="1" applyAlignment="1" applyProtection="1">
      <alignment horizontal="right" vertical="center" wrapText="1"/>
      <protection locked="0"/>
    </xf>
    <xf numFmtId="166" fontId="29" fillId="0" borderId="10" xfId="0" applyNumberFormat="1" applyFont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166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1" xfId="0" applyNumberFormat="1" applyBorder="1" applyAlignment="1" applyProtection="1">
      <alignment horizontal="left" vertical="center" wrapText="1" indent="1"/>
      <protection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6" fontId="0" fillId="0" borderId="11" xfId="0" applyNumberFormat="1" applyBorder="1" applyAlignment="1" applyProtection="1">
      <alignment horizontal="right" vertical="center"/>
      <protection/>
    </xf>
    <xf numFmtId="166" fontId="0" fillId="11" borderId="11" xfId="0" applyNumberFormat="1" applyFill="1" applyBorder="1" applyAlignment="1" applyProtection="1">
      <alignment horizontal="right" vertical="center"/>
      <protection/>
    </xf>
    <xf numFmtId="49" fontId="29" fillId="15" borderId="10" xfId="0" applyNumberFormat="1" applyFont="1" applyFill="1" applyBorder="1" applyAlignment="1" applyProtection="1">
      <alignment vertical="center" wrapText="1"/>
      <protection/>
    </xf>
    <xf numFmtId="166" fontId="29" fillId="15" borderId="10" xfId="0" applyNumberFormat="1" applyFont="1" applyFill="1" applyBorder="1" applyAlignment="1" applyProtection="1">
      <alignment horizontal="right" vertical="center" wrapText="1"/>
      <protection/>
    </xf>
    <xf numFmtId="166" fontId="0" fillId="34" borderId="11" xfId="0" applyNumberFormat="1" applyFill="1" applyBorder="1" applyAlignment="1" applyProtection="1">
      <alignment horizontal="right" vertical="center"/>
      <protection/>
    </xf>
    <xf numFmtId="166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166" fontId="29" fillId="34" borderId="10" xfId="0" applyNumberFormat="1" applyFont="1" applyFill="1" applyBorder="1" applyAlignment="1" applyProtection="1">
      <alignment horizontal="right" vertical="center"/>
      <protection/>
    </xf>
    <xf numFmtId="166" fontId="29" fillId="15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0" borderId="10" xfId="0" applyNumberFormat="1" applyFont="1" applyBorder="1" applyAlignment="1" applyProtection="1">
      <alignment horizontal="left" wrapText="1" indent="1"/>
      <protection/>
    </xf>
    <xf numFmtId="49" fontId="38" fillId="0" borderId="10" xfId="0" applyNumberFormat="1" applyFont="1" applyBorder="1" applyAlignment="1" applyProtection="1">
      <alignment horizontal="left" vertical="center" wrapText="1" indent="1"/>
      <protection/>
    </xf>
    <xf numFmtId="166" fontId="0" fillId="0" borderId="10" xfId="0" applyNumberFormat="1" applyBorder="1" applyAlignment="1" applyProtection="1">
      <alignment horizontal="center" wrapText="1"/>
      <protection locked="0"/>
    </xf>
    <xf numFmtId="166" fontId="29" fillId="0" borderId="10" xfId="0" applyNumberFormat="1" applyFont="1" applyBorder="1" applyAlignment="1" applyProtection="1">
      <alignment horizontal="center" wrapText="1"/>
      <protection locked="0"/>
    </xf>
    <xf numFmtId="166" fontId="0" fillId="16" borderId="10" xfId="0" applyNumberFormat="1" applyFill="1" applyBorder="1" applyAlignment="1" applyProtection="1">
      <alignment horizontal="center" wrapText="1"/>
      <protection locked="0"/>
    </xf>
    <xf numFmtId="166" fontId="0" fillId="0" borderId="10" xfId="0" applyNumberFormat="1" applyFill="1" applyBorder="1" applyAlignment="1" applyProtection="1">
      <alignment horizontal="center" wrapText="1"/>
      <protection locked="0"/>
    </xf>
    <xf numFmtId="166" fontId="0" fillId="11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0" borderId="11" xfId="0" applyNumberFormat="1" applyBorder="1" applyAlignment="1" applyProtection="1">
      <alignment horizontal="center" vertical="center" wrapText="1"/>
      <protection locked="0"/>
    </xf>
    <xf numFmtId="166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 applyProtection="1" quotePrefix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166" fontId="39" fillId="0" borderId="10" xfId="0" applyNumberFormat="1" applyFont="1" applyBorder="1" applyAlignment="1" applyProtection="1">
      <alignment wrapText="1"/>
      <protection locked="0"/>
    </xf>
    <xf numFmtId="166" fontId="0" fillId="35" borderId="10" xfId="0" applyNumberFormat="1" applyFill="1" applyBorder="1" applyAlignment="1" applyProtection="1">
      <alignment horizontal="right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166" fontId="0" fillId="0" borderId="11" xfId="0" applyNumberFormat="1" applyBorder="1" applyAlignment="1" applyProtection="1">
      <alignment horizontal="center" vertical="center" wrapText="1"/>
      <protection locked="0"/>
    </xf>
    <xf numFmtId="166" fontId="0" fillId="0" borderId="12" xfId="0" applyNumberFormat="1" applyBorder="1" applyAlignment="1" applyProtection="1">
      <alignment horizontal="center" vertical="center" wrapText="1"/>
      <protection locked="0"/>
    </xf>
    <xf numFmtId="166" fontId="0" fillId="0" borderId="13" xfId="0" applyNumberForma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wrapText="1"/>
    </xf>
    <xf numFmtId="49" fontId="41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49" fontId="29" fillId="0" borderId="14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abSelected="1" zoomScale="85" zoomScaleNormal="85" zoomScalePageLayoutView="0" workbookViewId="0" topLeftCell="A31">
      <selection activeCell="G35" sqref="G35"/>
    </sheetView>
  </sheetViews>
  <sheetFormatPr defaultColWidth="9.140625" defaultRowHeight="15"/>
  <cols>
    <col min="1" max="1" width="74.28125" style="0" customWidth="1"/>
    <col min="3" max="5" width="18.7109375" style="0" customWidth="1"/>
    <col min="6" max="6" width="19.57421875" style="0" customWidth="1"/>
    <col min="7" max="8" width="23.140625" style="0" customWidth="1"/>
    <col min="9" max="9" width="25.7109375" style="0" customWidth="1"/>
    <col min="10" max="10" width="26.140625" style="0" customWidth="1"/>
  </cols>
  <sheetData>
    <row r="1" spans="1:10" s="1" customFormat="1" ht="73.5" customHeight="1">
      <c r="A1" s="114" t="s">
        <v>193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s="1" customFormat="1" ht="15">
      <c r="A2" s="2"/>
      <c r="B2" s="2"/>
      <c r="C2" s="3"/>
      <c r="D2" s="2"/>
      <c r="E2" s="2"/>
      <c r="F2" s="4"/>
      <c r="G2" s="4"/>
      <c r="H2" s="4"/>
      <c r="I2" s="4"/>
      <c r="J2" s="4"/>
    </row>
    <row r="3" spans="1:10" s="1" customFormat="1" ht="57" customHeight="1">
      <c r="A3" s="116"/>
      <c r="B3" s="116" t="s">
        <v>0</v>
      </c>
      <c r="C3" s="119" t="s">
        <v>1</v>
      </c>
      <c r="D3" s="119" t="s">
        <v>2</v>
      </c>
      <c r="E3" s="119" t="s">
        <v>3</v>
      </c>
      <c r="F3" s="107" t="s">
        <v>4</v>
      </c>
      <c r="G3" s="107" t="s">
        <v>5</v>
      </c>
      <c r="H3" s="107" t="s">
        <v>6</v>
      </c>
      <c r="I3" s="107" t="s">
        <v>7</v>
      </c>
      <c r="J3" s="107" t="s">
        <v>166</v>
      </c>
    </row>
    <row r="4" spans="1:10" s="5" customFormat="1" ht="18" customHeight="1">
      <c r="A4" s="117"/>
      <c r="B4" s="117"/>
      <c r="C4" s="120"/>
      <c r="D4" s="120"/>
      <c r="E4" s="120"/>
      <c r="F4" s="108"/>
      <c r="G4" s="108"/>
      <c r="H4" s="108"/>
      <c r="I4" s="108"/>
      <c r="J4" s="108"/>
    </row>
    <row r="5" spans="1:10" s="5" customFormat="1" ht="88.5" customHeight="1">
      <c r="A5" s="118"/>
      <c r="B5" s="118"/>
      <c r="C5" s="121"/>
      <c r="D5" s="121"/>
      <c r="E5" s="121"/>
      <c r="F5" s="109"/>
      <c r="G5" s="109"/>
      <c r="H5" s="109"/>
      <c r="I5" s="109"/>
      <c r="J5" s="109"/>
    </row>
    <row r="6" spans="1:10" s="5" customFormat="1" ht="15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156</v>
      </c>
    </row>
    <row r="7" spans="1:10" s="1" customFormat="1" ht="15">
      <c r="A7" s="7"/>
      <c r="B7" s="7"/>
      <c r="C7" s="8"/>
      <c r="D7" s="9"/>
      <c r="E7" s="9"/>
      <c r="F7" s="9"/>
      <c r="G7" s="10"/>
      <c r="H7" s="9"/>
      <c r="I7" s="11"/>
      <c r="J7" s="11"/>
    </row>
    <row r="8" spans="1:10" s="17" customFormat="1" ht="19.5" customHeight="1">
      <c r="A8" s="12" t="s">
        <v>17</v>
      </c>
      <c r="B8" s="13"/>
      <c r="C8" s="14">
        <f>SUM(C9,C16,C24)</f>
        <v>416867.1</v>
      </c>
      <c r="D8" s="15">
        <f>SUM(D9,D16,D24)</f>
        <v>442594.80000000005</v>
      </c>
      <c r="E8" s="15">
        <f>SUM(E9,E16,E24)</f>
        <v>412905.2</v>
      </c>
      <c r="F8" s="15">
        <f aca="true" t="shared" si="0" ref="F8:F28">D8-C8</f>
        <v>25727.70000000007</v>
      </c>
      <c r="G8" s="16"/>
      <c r="H8" s="15">
        <f>E8-D8</f>
        <v>-29689.600000000035</v>
      </c>
      <c r="I8" s="16"/>
      <c r="J8" s="16"/>
    </row>
    <row r="9" spans="1:10" s="17" customFormat="1" ht="19.5" customHeight="1">
      <c r="A9" s="18" t="s">
        <v>18</v>
      </c>
      <c r="B9" s="19"/>
      <c r="C9" s="20">
        <f>SUM(C10:C15)</f>
        <v>95710.09999999999</v>
      </c>
      <c r="D9" s="21">
        <f>SUM(D10:D15)</f>
        <v>104807.90000000001</v>
      </c>
      <c r="E9" s="21">
        <f>SUM(E10:E15)</f>
        <v>99610.9</v>
      </c>
      <c r="F9" s="20">
        <f t="shared" si="0"/>
        <v>9097.800000000017</v>
      </c>
      <c r="G9" s="22"/>
      <c r="H9" s="21">
        <f aca="true" t="shared" si="1" ref="H9:H28">E9-D9</f>
        <v>-5197.000000000015</v>
      </c>
      <c r="I9" s="22"/>
      <c r="J9" s="87" t="s">
        <v>157</v>
      </c>
    </row>
    <row r="10" spans="1:10" s="1" customFormat="1" ht="115.5" customHeight="1">
      <c r="A10" s="23" t="s">
        <v>19</v>
      </c>
      <c r="B10" s="24"/>
      <c r="C10" s="25">
        <v>86704.9</v>
      </c>
      <c r="D10" s="26">
        <v>94484.1</v>
      </c>
      <c r="E10" s="26">
        <v>89277.7</v>
      </c>
      <c r="F10" s="27">
        <f t="shared" si="0"/>
        <v>7779.200000000012</v>
      </c>
      <c r="G10" s="105" t="s">
        <v>194</v>
      </c>
      <c r="H10" s="21">
        <f t="shared" si="1"/>
        <v>-5206.400000000009</v>
      </c>
      <c r="I10" s="28" t="s">
        <v>195</v>
      </c>
      <c r="J10" s="86" t="s">
        <v>157</v>
      </c>
    </row>
    <row r="11" spans="1:10" s="1" customFormat="1" ht="28.5" customHeight="1">
      <c r="A11" s="23" t="s">
        <v>20</v>
      </c>
      <c r="B11" s="24"/>
      <c r="C11" s="25">
        <v>1882.4</v>
      </c>
      <c r="D11" s="26">
        <v>2240</v>
      </c>
      <c r="E11" s="26">
        <v>1916.5</v>
      </c>
      <c r="F11" s="27">
        <f t="shared" si="0"/>
        <v>357.5999999999999</v>
      </c>
      <c r="G11" s="105" t="s">
        <v>196</v>
      </c>
      <c r="H11" s="21">
        <f t="shared" si="1"/>
        <v>-323.5</v>
      </c>
      <c r="I11" s="105" t="s">
        <v>196</v>
      </c>
      <c r="J11" s="86" t="s">
        <v>157</v>
      </c>
    </row>
    <row r="12" spans="1:10" s="1" customFormat="1" ht="76.5" customHeight="1">
      <c r="A12" s="23" t="s">
        <v>21</v>
      </c>
      <c r="B12" s="24"/>
      <c r="C12" s="25">
        <v>5284.1</v>
      </c>
      <c r="D12" s="26">
        <v>6291</v>
      </c>
      <c r="E12" s="26">
        <v>6593.7</v>
      </c>
      <c r="F12" s="27">
        <f>D12-C12</f>
        <v>1006.8999999999996</v>
      </c>
      <c r="G12" s="105" t="s">
        <v>197</v>
      </c>
      <c r="H12" s="21">
        <f t="shared" si="1"/>
        <v>302.6999999999998</v>
      </c>
      <c r="I12" s="28" t="s">
        <v>198</v>
      </c>
      <c r="J12" s="86" t="s">
        <v>157</v>
      </c>
    </row>
    <row r="13" spans="1:10" s="1" customFormat="1" ht="19.5" customHeight="1">
      <c r="A13" s="23" t="s">
        <v>22</v>
      </c>
      <c r="B13" s="24"/>
      <c r="C13" s="25">
        <v>0</v>
      </c>
      <c r="D13" s="26">
        <v>0</v>
      </c>
      <c r="E13" s="26">
        <v>0</v>
      </c>
      <c r="F13" s="27">
        <f t="shared" si="0"/>
        <v>0</v>
      </c>
      <c r="G13" s="28"/>
      <c r="H13" s="21">
        <f>E13-D13</f>
        <v>0</v>
      </c>
      <c r="I13" s="28"/>
      <c r="J13" s="86" t="s">
        <v>157</v>
      </c>
    </row>
    <row r="14" spans="1:10" s="1" customFormat="1" ht="39.75" customHeight="1">
      <c r="A14" s="23" t="s">
        <v>23</v>
      </c>
      <c r="B14" s="24"/>
      <c r="C14" s="25">
        <v>1838.7</v>
      </c>
      <c r="D14" s="26">
        <v>1792.8</v>
      </c>
      <c r="E14" s="26">
        <v>1823</v>
      </c>
      <c r="F14" s="27">
        <f t="shared" si="0"/>
        <v>-45.90000000000009</v>
      </c>
      <c r="G14" s="105" t="s">
        <v>199</v>
      </c>
      <c r="H14" s="21">
        <f t="shared" si="1"/>
        <v>30.200000000000045</v>
      </c>
      <c r="I14" s="105" t="s">
        <v>200</v>
      </c>
      <c r="J14" s="86" t="s">
        <v>157</v>
      </c>
    </row>
    <row r="15" spans="1:10" s="1" customFormat="1" ht="34.5" customHeight="1">
      <c r="A15" s="23" t="s">
        <v>24</v>
      </c>
      <c r="B15" s="24"/>
      <c r="C15" s="25">
        <v>0</v>
      </c>
      <c r="D15" s="26">
        <v>0</v>
      </c>
      <c r="E15" s="26">
        <v>0</v>
      </c>
      <c r="F15" s="27">
        <f t="shared" si="0"/>
        <v>0</v>
      </c>
      <c r="G15" s="28"/>
      <c r="H15" s="21">
        <f t="shared" si="1"/>
        <v>0</v>
      </c>
      <c r="I15" s="28"/>
      <c r="J15" s="86" t="s">
        <v>157</v>
      </c>
    </row>
    <row r="16" spans="1:10" s="17" customFormat="1" ht="20.25" customHeight="1">
      <c r="A16" s="18" t="s">
        <v>25</v>
      </c>
      <c r="B16" s="19"/>
      <c r="C16" s="20">
        <f>SUM(C17:C23)</f>
        <v>6856.4</v>
      </c>
      <c r="D16" s="21">
        <f>SUM(D17:D23)</f>
        <v>7245.2</v>
      </c>
      <c r="E16" s="21">
        <f>SUM(E17:E23)</f>
        <v>5887.200000000001</v>
      </c>
      <c r="F16" s="20">
        <f t="shared" si="0"/>
        <v>388.8000000000002</v>
      </c>
      <c r="G16" s="22"/>
      <c r="H16" s="21">
        <f t="shared" si="1"/>
        <v>-1357.999999999999</v>
      </c>
      <c r="I16" s="22"/>
      <c r="J16" s="87" t="s">
        <v>157</v>
      </c>
    </row>
    <row r="17" spans="1:10" s="1" customFormat="1" ht="116.25" customHeight="1">
      <c r="A17" s="29" t="s">
        <v>26</v>
      </c>
      <c r="B17" s="30"/>
      <c r="C17" s="28">
        <v>4317.4</v>
      </c>
      <c r="D17" s="26">
        <v>4016.6</v>
      </c>
      <c r="E17" s="26">
        <v>3628.9</v>
      </c>
      <c r="F17" s="27">
        <f t="shared" si="0"/>
        <v>-300.7999999999997</v>
      </c>
      <c r="G17" s="105" t="s">
        <v>201</v>
      </c>
      <c r="H17" s="21">
        <f t="shared" si="1"/>
        <v>-387.6999999999998</v>
      </c>
      <c r="I17" s="105" t="s">
        <v>202</v>
      </c>
      <c r="J17" s="86" t="s">
        <v>157</v>
      </c>
    </row>
    <row r="18" spans="1:10" s="1" customFormat="1" ht="43.5" customHeight="1">
      <c r="A18" s="29" t="s">
        <v>27</v>
      </c>
      <c r="B18" s="30"/>
      <c r="C18" s="31">
        <v>108.6</v>
      </c>
      <c r="D18" s="26">
        <v>94.9</v>
      </c>
      <c r="E18" s="26">
        <v>140.3</v>
      </c>
      <c r="F18" s="27">
        <f t="shared" si="0"/>
        <v>-13.699999999999989</v>
      </c>
      <c r="G18" s="105" t="s">
        <v>203</v>
      </c>
      <c r="H18" s="21">
        <f t="shared" si="1"/>
        <v>45.400000000000006</v>
      </c>
      <c r="I18" s="105" t="s">
        <v>203</v>
      </c>
      <c r="J18" s="86" t="s">
        <v>157</v>
      </c>
    </row>
    <row r="19" spans="1:10" s="1" customFormat="1" ht="102" customHeight="1">
      <c r="A19" s="29" t="s">
        <v>28</v>
      </c>
      <c r="B19" s="30"/>
      <c r="C19" s="28">
        <v>449.8</v>
      </c>
      <c r="D19" s="26">
        <v>383</v>
      </c>
      <c r="E19" s="26">
        <v>366.7</v>
      </c>
      <c r="F19" s="27">
        <f t="shared" si="0"/>
        <v>-66.80000000000001</v>
      </c>
      <c r="G19" s="105" t="s">
        <v>204</v>
      </c>
      <c r="H19" s="21">
        <f t="shared" si="1"/>
        <v>-16.30000000000001</v>
      </c>
      <c r="I19" s="105" t="s">
        <v>204</v>
      </c>
      <c r="J19" s="86" t="s">
        <v>157</v>
      </c>
    </row>
    <row r="20" spans="1:10" s="1" customFormat="1" ht="125.25" customHeight="1">
      <c r="A20" s="29" t="s">
        <v>29</v>
      </c>
      <c r="B20" s="30"/>
      <c r="C20" s="28">
        <v>1307.7</v>
      </c>
      <c r="D20" s="26">
        <v>2095.1</v>
      </c>
      <c r="E20" s="26">
        <v>1233</v>
      </c>
      <c r="F20" s="27">
        <f t="shared" si="0"/>
        <v>787.3999999999999</v>
      </c>
      <c r="G20" s="105" t="s">
        <v>205</v>
      </c>
      <c r="H20" s="21">
        <f t="shared" si="1"/>
        <v>-862.0999999999999</v>
      </c>
      <c r="I20" s="105" t="s">
        <v>206</v>
      </c>
      <c r="J20" s="86" t="s">
        <v>157</v>
      </c>
    </row>
    <row r="21" spans="1:10" s="1" customFormat="1" ht="21" customHeight="1">
      <c r="A21" s="29" t="s">
        <v>30</v>
      </c>
      <c r="B21" s="30"/>
      <c r="C21" s="31">
        <v>0</v>
      </c>
      <c r="D21" s="26">
        <v>0</v>
      </c>
      <c r="E21" s="26">
        <v>0</v>
      </c>
      <c r="F21" s="27">
        <f>D21-C21</f>
        <v>0</v>
      </c>
      <c r="G21" s="28"/>
      <c r="H21" s="21">
        <f>E21-D21</f>
        <v>0</v>
      </c>
      <c r="I21" s="28"/>
      <c r="J21" s="86" t="s">
        <v>157</v>
      </c>
    </row>
    <row r="22" spans="1:10" s="1" customFormat="1" ht="56.25" customHeight="1">
      <c r="A22" s="29" t="s">
        <v>31</v>
      </c>
      <c r="B22" s="30"/>
      <c r="C22" s="31">
        <v>672.9</v>
      </c>
      <c r="D22" s="26">
        <v>622.9</v>
      </c>
      <c r="E22" s="26">
        <v>518.3</v>
      </c>
      <c r="F22" s="27">
        <f t="shared" si="0"/>
        <v>-50</v>
      </c>
      <c r="G22" s="105" t="s">
        <v>207</v>
      </c>
      <c r="H22" s="21">
        <f t="shared" si="1"/>
        <v>-104.60000000000002</v>
      </c>
      <c r="I22" s="105" t="s">
        <v>208</v>
      </c>
      <c r="J22" s="86" t="s">
        <v>157</v>
      </c>
    </row>
    <row r="23" spans="1:10" s="1" customFormat="1" ht="54" customHeight="1">
      <c r="A23" s="29" t="s">
        <v>32</v>
      </c>
      <c r="B23" s="30"/>
      <c r="C23" s="31">
        <v>0</v>
      </c>
      <c r="D23" s="26">
        <v>32.7</v>
      </c>
      <c r="E23" s="26">
        <v>0</v>
      </c>
      <c r="F23" s="27">
        <f t="shared" si="0"/>
        <v>32.7</v>
      </c>
      <c r="G23" s="105" t="s">
        <v>209</v>
      </c>
      <c r="H23" s="21">
        <f t="shared" si="1"/>
        <v>-32.7</v>
      </c>
      <c r="I23" s="105" t="s">
        <v>209</v>
      </c>
      <c r="J23" s="86" t="s">
        <v>157</v>
      </c>
    </row>
    <row r="24" spans="1:10" s="17" customFormat="1" ht="24" customHeight="1">
      <c r="A24" s="32" t="s">
        <v>33</v>
      </c>
      <c r="B24" s="13"/>
      <c r="C24" s="33">
        <f>SUM(C25:C28)</f>
        <v>314300.6</v>
      </c>
      <c r="D24" s="33">
        <f>SUM(D25:D28)</f>
        <v>330541.7</v>
      </c>
      <c r="E24" s="33">
        <f>SUM(E25:E28)</f>
        <v>307407.10000000003</v>
      </c>
      <c r="F24" s="20">
        <f>D24-C24</f>
        <v>16241.100000000035</v>
      </c>
      <c r="G24" s="22"/>
      <c r="H24" s="21">
        <f>E24-D24</f>
        <v>-23134.599999999977</v>
      </c>
      <c r="I24" s="22"/>
      <c r="J24" s="87" t="s">
        <v>157</v>
      </c>
    </row>
    <row r="25" spans="1:10" s="1" customFormat="1" ht="24" customHeight="1">
      <c r="A25" s="29" t="s">
        <v>34</v>
      </c>
      <c r="B25" s="34"/>
      <c r="C25" s="31">
        <v>72449.5</v>
      </c>
      <c r="D25" s="26">
        <v>78637.3</v>
      </c>
      <c r="E25" s="26">
        <v>73856.3</v>
      </c>
      <c r="F25" s="27">
        <f t="shared" si="0"/>
        <v>6187.800000000003</v>
      </c>
      <c r="G25" s="28"/>
      <c r="H25" s="21">
        <f t="shared" si="1"/>
        <v>-4781</v>
      </c>
      <c r="I25" s="28"/>
      <c r="J25" s="86" t="s">
        <v>157</v>
      </c>
    </row>
    <row r="26" spans="1:10" s="1" customFormat="1" ht="24" customHeight="1">
      <c r="A26" s="35" t="s">
        <v>35</v>
      </c>
      <c r="B26" s="34"/>
      <c r="C26" s="36">
        <v>230841.3</v>
      </c>
      <c r="D26" s="37">
        <v>237349.3</v>
      </c>
      <c r="E26" s="37">
        <v>222153.6</v>
      </c>
      <c r="F26" s="38">
        <f t="shared" si="0"/>
        <v>6508</v>
      </c>
      <c r="G26" s="39"/>
      <c r="H26" s="38">
        <f t="shared" si="1"/>
        <v>-15195.699999999983</v>
      </c>
      <c r="I26" s="39"/>
      <c r="J26" s="88" t="s">
        <v>157</v>
      </c>
    </row>
    <row r="27" spans="1:10" s="1" customFormat="1" ht="24" customHeight="1">
      <c r="A27" s="29" t="s">
        <v>36</v>
      </c>
      <c r="B27" s="34"/>
      <c r="C27" s="31">
        <v>0</v>
      </c>
      <c r="D27" s="26">
        <v>203.4</v>
      </c>
      <c r="E27" s="26">
        <v>0</v>
      </c>
      <c r="F27" s="40">
        <f t="shared" si="0"/>
        <v>203.4</v>
      </c>
      <c r="G27" s="41"/>
      <c r="H27" s="40">
        <f t="shared" si="1"/>
        <v>-203.4</v>
      </c>
      <c r="I27" s="41"/>
      <c r="J27" s="89" t="s">
        <v>157</v>
      </c>
    </row>
    <row r="28" spans="1:10" s="1" customFormat="1" ht="28.5" customHeight="1">
      <c r="A28" s="29" t="s">
        <v>37</v>
      </c>
      <c r="B28" s="34"/>
      <c r="C28" s="31">
        <v>11009.8</v>
      </c>
      <c r="D28" s="26">
        <v>14351.7</v>
      </c>
      <c r="E28" s="26">
        <v>11397.2</v>
      </c>
      <c r="F28" s="40">
        <f t="shared" si="0"/>
        <v>3341.9000000000015</v>
      </c>
      <c r="G28" s="41"/>
      <c r="H28" s="40">
        <f t="shared" si="1"/>
        <v>-2954.5</v>
      </c>
      <c r="I28" s="41"/>
      <c r="J28" s="89" t="s">
        <v>157</v>
      </c>
    </row>
    <row r="29" spans="1:10" s="46" customFormat="1" ht="49.5" customHeight="1">
      <c r="A29" s="42" t="s">
        <v>167</v>
      </c>
      <c r="B29" s="42"/>
      <c r="C29" s="43">
        <f>C9+C16+C25+C27+C28</f>
        <v>186025.8</v>
      </c>
      <c r="D29" s="43">
        <f>D9+D16+D25+D27+D28</f>
        <v>205245.50000000003</v>
      </c>
      <c r="E29" s="43">
        <f>G9+E9+E16+E25+E27+E28</f>
        <v>190751.6</v>
      </c>
      <c r="F29" s="43">
        <f>D29-C29</f>
        <v>19219.70000000004</v>
      </c>
      <c r="G29" s="44"/>
      <c r="H29" s="45">
        <f>E29-D29</f>
        <v>-14493.900000000023</v>
      </c>
      <c r="I29" s="44"/>
      <c r="J29" s="90" t="s">
        <v>157</v>
      </c>
    </row>
    <row r="30" spans="1:10" s="1" customFormat="1" ht="24" customHeight="1">
      <c r="A30" s="7"/>
      <c r="B30" s="7"/>
      <c r="C30" s="47"/>
      <c r="D30" s="47"/>
      <c r="E30" s="47"/>
      <c r="F30" s="48"/>
      <c r="G30" s="49"/>
      <c r="H30" s="48"/>
      <c r="I30" s="49"/>
      <c r="J30" s="49"/>
    </row>
    <row r="31" spans="1:10" s="17" customFormat="1" ht="24" customHeight="1">
      <c r="A31" s="12" t="s">
        <v>38</v>
      </c>
      <c r="B31" s="12"/>
      <c r="C31" s="50">
        <f>C32+C171</f>
        <v>402306.2</v>
      </c>
      <c r="D31" s="50">
        <f>D32+D171</f>
        <v>441540.61000000004</v>
      </c>
      <c r="E31" s="50">
        <f>E32+E171</f>
        <v>412905.2</v>
      </c>
      <c r="F31" s="51"/>
      <c r="G31" s="52"/>
      <c r="H31" s="51">
        <v>0</v>
      </c>
      <c r="I31" s="52"/>
      <c r="J31" s="52"/>
    </row>
    <row r="32" spans="1:10" s="17" customFormat="1" ht="51.75" customHeight="1">
      <c r="A32" s="53" t="s">
        <v>39</v>
      </c>
      <c r="B32" s="53"/>
      <c r="C32" s="54">
        <f>SUM(C33,C56,C58,C66,C74,C79,C82,C126,C138,C139,C144,C162,C166,C167)</f>
        <v>172309.1</v>
      </c>
      <c r="D32" s="54">
        <f>SUM(D33,D56,D58,D66,D74,D79,D82,D126,D138,D139,D144,D162,D166,D167)</f>
        <v>202779.25000000003</v>
      </c>
      <c r="E32" s="54">
        <f>SUM(E33,E56,E58,E66,E74,E79,E82,E126,E138,E139,E144,E162,E166,E167)</f>
        <v>190751.6</v>
      </c>
      <c r="F32" s="55">
        <f>D32-C32</f>
        <v>30470.150000000023</v>
      </c>
      <c r="G32" s="56"/>
      <c r="H32" s="55">
        <f>E32-D32</f>
        <v>-12027.650000000023</v>
      </c>
      <c r="I32" s="56"/>
      <c r="J32" s="95" t="s">
        <v>157</v>
      </c>
    </row>
    <row r="33" spans="1:10" s="17" customFormat="1" ht="14.25" customHeight="1">
      <c r="A33" s="18" t="s">
        <v>40</v>
      </c>
      <c r="B33" s="97" t="s">
        <v>41</v>
      </c>
      <c r="C33" s="57">
        <f>C34+C36+C40+C44+C45+C49+C50+C51</f>
        <v>38584.490000000005</v>
      </c>
      <c r="D33" s="57">
        <f>D34+D36+D40+D44+D45+D49+D50+D51</f>
        <v>38287.5</v>
      </c>
      <c r="E33" s="57">
        <f>E34+E36+E40+E44+E45+E49+E50+E51</f>
        <v>38181.2</v>
      </c>
      <c r="F33" s="58">
        <f>D33-C33</f>
        <v>-296.99000000000524</v>
      </c>
      <c r="G33" s="59"/>
      <c r="H33" s="58">
        <f aca="true" t="shared" si="2" ref="H33:H175">E33-D33</f>
        <v>-106.30000000000291</v>
      </c>
      <c r="I33" s="59"/>
      <c r="J33" s="91" t="s">
        <v>157</v>
      </c>
    </row>
    <row r="34" spans="1:10" s="1" customFormat="1" ht="15.75" customHeight="1">
      <c r="A34" s="23" t="s">
        <v>42</v>
      </c>
      <c r="B34" s="98" t="s">
        <v>43</v>
      </c>
      <c r="C34" s="60">
        <v>1865.65</v>
      </c>
      <c r="D34" s="60">
        <v>1566.5</v>
      </c>
      <c r="E34" s="60">
        <v>1629.7</v>
      </c>
      <c r="F34" s="61">
        <f>D34-C34</f>
        <v>-299.1500000000001</v>
      </c>
      <c r="G34" s="62"/>
      <c r="H34" s="61">
        <f t="shared" si="2"/>
        <v>63.200000000000045</v>
      </c>
      <c r="I34" s="62"/>
      <c r="J34" s="92" t="s">
        <v>157</v>
      </c>
    </row>
    <row r="35" spans="1:10" s="1" customFormat="1" ht="63.75" customHeight="1">
      <c r="A35" s="84" t="s">
        <v>154</v>
      </c>
      <c r="B35" s="98"/>
      <c r="C35" s="60">
        <f>1865.7-2.3</f>
        <v>1863.4</v>
      </c>
      <c r="D35" s="60">
        <v>1566.5</v>
      </c>
      <c r="E35" s="60">
        <v>1611.7</v>
      </c>
      <c r="F35" s="61">
        <f aca="true" t="shared" si="3" ref="F35:F100">D35-C35</f>
        <v>-296.9000000000001</v>
      </c>
      <c r="G35" s="62" t="s">
        <v>210</v>
      </c>
      <c r="H35" s="61">
        <f t="shared" si="2"/>
        <v>45.200000000000045</v>
      </c>
      <c r="I35" s="106"/>
      <c r="J35" s="62"/>
    </row>
    <row r="36" spans="1:10" s="1" customFormat="1" ht="15.75" customHeight="1">
      <c r="A36" s="23" t="s">
        <v>44</v>
      </c>
      <c r="B36" s="98" t="s">
        <v>45</v>
      </c>
      <c r="C36" s="60">
        <v>0</v>
      </c>
      <c r="D36" s="60">
        <v>250</v>
      </c>
      <c r="E36" s="60">
        <v>250</v>
      </c>
      <c r="F36" s="61">
        <f t="shared" si="3"/>
        <v>250</v>
      </c>
      <c r="G36" s="110" t="s">
        <v>211</v>
      </c>
      <c r="H36" s="61">
        <f t="shared" si="2"/>
        <v>0</v>
      </c>
      <c r="I36" s="62"/>
      <c r="J36" s="92" t="s">
        <v>157</v>
      </c>
    </row>
    <row r="37" spans="1:10" s="1" customFormat="1" ht="15.75" customHeight="1">
      <c r="A37" s="84" t="s">
        <v>154</v>
      </c>
      <c r="B37" s="98"/>
      <c r="C37" s="60"/>
      <c r="D37" s="60"/>
      <c r="E37" s="60"/>
      <c r="F37" s="61">
        <f t="shared" si="3"/>
        <v>0</v>
      </c>
      <c r="G37" s="111"/>
      <c r="H37" s="61">
        <f t="shared" si="2"/>
        <v>0</v>
      </c>
      <c r="I37" s="62"/>
      <c r="J37" s="62"/>
    </row>
    <row r="38" spans="1:10" s="1" customFormat="1" ht="15.75" customHeight="1">
      <c r="A38" s="84" t="s">
        <v>158</v>
      </c>
      <c r="B38" s="98"/>
      <c r="C38" s="60"/>
      <c r="D38" s="60"/>
      <c r="E38" s="60"/>
      <c r="F38" s="61">
        <f t="shared" si="3"/>
        <v>0</v>
      </c>
      <c r="G38" s="111"/>
      <c r="H38" s="61">
        <f t="shared" si="2"/>
        <v>0</v>
      </c>
      <c r="I38" s="62"/>
      <c r="J38" s="92" t="s">
        <v>157</v>
      </c>
    </row>
    <row r="39" spans="1:10" s="1" customFormat="1" ht="33.75" customHeight="1">
      <c r="A39" s="84" t="s">
        <v>153</v>
      </c>
      <c r="B39" s="98"/>
      <c r="C39" s="60">
        <v>0</v>
      </c>
      <c r="D39" s="60">
        <f>D36</f>
        <v>250</v>
      </c>
      <c r="E39" s="60">
        <v>250</v>
      </c>
      <c r="F39" s="61">
        <f t="shared" si="3"/>
        <v>250</v>
      </c>
      <c r="G39" s="112"/>
      <c r="H39" s="61">
        <f t="shared" si="2"/>
        <v>0</v>
      </c>
      <c r="I39" s="62"/>
      <c r="J39" s="62"/>
    </row>
    <row r="40" spans="1:10" s="1" customFormat="1" ht="15.75" customHeight="1">
      <c r="A40" s="23" t="s">
        <v>46</v>
      </c>
      <c r="B40" s="98" t="s">
        <v>47</v>
      </c>
      <c r="C40" s="60">
        <f>16912.7</f>
        <v>16912.7</v>
      </c>
      <c r="D40" s="60">
        <f>17621</f>
        <v>17621</v>
      </c>
      <c r="E40" s="60">
        <f>18319.3</f>
        <v>18319.3</v>
      </c>
      <c r="F40" s="61">
        <f t="shared" si="3"/>
        <v>708.2999999999993</v>
      </c>
      <c r="G40" s="62"/>
      <c r="H40" s="61">
        <f t="shared" si="2"/>
        <v>698.2999999999993</v>
      </c>
      <c r="I40" s="62"/>
      <c r="J40" s="92" t="s">
        <v>157</v>
      </c>
    </row>
    <row r="41" spans="1:10" s="1" customFormat="1" ht="115.5" customHeight="1">
      <c r="A41" s="84" t="s">
        <v>154</v>
      </c>
      <c r="B41" s="98"/>
      <c r="C41" s="60">
        <f>10840.82+3341.41+472+10.73+24.52+3.83</f>
        <v>14693.31</v>
      </c>
      <c r="D41" s="60">
        <f>11006.59+530.7+3369.61</f>
        <v>14906.900000000001</v>
      </c>
      <c r="E41" s="60">
        <f>15558.5</f>
        <v>15558.5</v>
      </c>
      <c r="F41" s="61">
        <f t="shared" si="3"/>
        <v>213.59000000000196</v>
      </c>
      <c r="G41" s="62" t="s">
        <v>212</v>
      </c>
      <c r="H41" s="61">
        <f t="shared" si="2"/>
        <v>651.5999999999985</v>
      </c>
      <c r="I41" s="106"/>
      <c r="J41" s="62"/>
    </row>
    <row r="42" spans="1:10" s="1" customFormat="1" ht="15.75" customHeight="1">
      <c r="A42" s="84" t="s">
        <v>159</v>
      </c>
      <c r="B42" s="98"/>
      <c r="C42" s="60">
        <v>0</v>
      </c>
      <c r="D42" s="60">
        <v>0</v>
      </c>
      <c r="E42" s="60">
        <v>0</v>
      </c>
      <c r="F42" s="61">
        <f t="shared" si="3"/>
        <v>0</v>
      </c>
      <c r="G42" s="62"/>
      <c r="H42" s="61">
        <f t="shared" si="2"/>
        <v>0</v>
      </c>
      <c r="I42" s="62"/>
      <c r="J42" s="62"/>
    </row>
    <row r="43" spans="1:10" s="1" customFormat="1" ht="33.75" customHeight="1">
      <c r="A43" s="84" t="s">
        <v>153</v>
      </c>
      <c r="B43" s="98"/>
      <c r="C43" s="60">
        <f>C40-C41</f>
        <v>2219.3900000000012</v>
      </c>
      <c r="D43" s="60">
        <f>D40-D41-D42</f>
        <v>2714.0999999999985</v>
      </c>
      <c r="E43" s="60">
        <f>E40-E41-E42</f>
        <v>2760.7999999999993</v>
      </c>
      <c r="F43" s="61">
        <f t="shared" si="3"/>
        <v>494.7099999999973</v>
      </c>
      <c r="G43" s="62" t="s">
        <v>214</v>
      </c>
      <c r="H43" s="61">
        <f t="shared" si="2"/>
        <v>46.70000000000073</v>
      </c>
      <c r="I43" s="62" t="s">
        <v>214</v>
      </c>
      <c r="J43" s="62"/>
    </row>
    <row r="44" spans="1:10" s="1" customFormat="1" ht="15.75" customHeight="1">
      <c r="A44" s="23" t="s">
        <v>48</v>
      </c>
      <c r="B44" s="98" t="s">
        <v>49</v>
      </c>
      <c r="C44" s="60"/>
      <c r="D44" s="60"/>
      <c r="E44" s="60"/>
      <c r="F44" s="61">
        <f t="shared" si="3"/>
        <v>0</v>
      </c>
      <c r="G44" s="62"/>
      <c r="H44" s="61">
        <f t="shared" si="2"/>
        <v>0</v>
      </c>
      <c r="I44" s="62"/>
      <c r="J44" s="92" t="s">
        <v>157</v>
      </c>
    </row>
    <row r="45" spans="1:10" s="1" customFormat="1" ht="15.75" customHeight="1">
      <c r="A45" s="23" t="s">
        <v>50</v>
      </c>
      <c r="B45" s="98" t="s">
        <v>51</v>
      </c>
      <c r="C45" s="60">
        <v>8402.94</v>
      </c>
      <c r="D45" s="60">
        <f>8615.1</f>
        <v>8615.1</v>
      </c>
      <c r="E45" s="60">
        <v>8997.7</v>
      </c>
      <c r="F45" s="61">
        <f t="shared" si="3"/>
        <v>212.15999999999985</v>
      </c>
      <c r="G45" s="62"/>
      <c r="H45" s="61">
        <f t="shared" si="2"/>
        <v>382.60000000000036</v>
      </c>
      <c r="I45" s="62"/>
      <c r="J45" s="92" t="s">
        <v>157</v>
      </c>
    </row>
    <row r="46" spans="1:10" s="1" customFormat="1" ht="65.25" customHeight="1">
      <c r="A46" s="84" t="s">
        <v>154</v>
      </c>
      <c r="B46" s="98"/>
      <c r="C46" s="60">
        <f>5149.61+203.78+1594.24+413+21+130</f>
        <v>7511.629999999999</v>
      </c>
      <c r="D46" s="60">
        <f>5184.1+222+1628+422+21+133.5</f>
        <v>7610.6</v>
      </c>
      <c r="E46" s="60">
        <f>604.1+7362.2</f>
        <v>7966.3</v>
      </c>
      <c r="F46" s="61">
        <f t="shared" si="3"/>
        <v>98.97000000000116</v>
      </c>
      <c r="G46" s="62" t="s">
        <v>213</v>
      </c>
      <c r="H46" s="61">
        <f t="shared" si="2"/>
        <v>355.6999999999998</v>
      </c>
      <c r="I46" s="106"/>
      <c r="J46" s="62"/>
    </row>
    <row r="47" spans="1:10" s="1" customFormat="1" ht="15.75" customHeight="1">
      <c r="A47" s="84" t="s">
        <v>159</v>
      </c>
      <c r="B47" s="98"/>
      <c r="C47" s="60">
        <v>66</v>
      </c>
      <c r="D47" s="60">
        <f>70.45+10.4</f>
        <v>80.85000000000001</v>
      </c>
      <c r="E47" s="60">
        <f>10.5+70.8</f>
        <v>81.3</v>
      </c>
      <c r="F47" s="61">
        <f t="shared" si="3"/>
        <v>14.850000000000009</v>
      </c>
      <c r="G47" s="62" t="s">
        <v>217</v>
      </c>
      <c r="H47" s="61">
        <f t="shared" si="2"/>
        <v>0.44999999999998863</v>
      </c>
      <c r="I47" s="62"/>
      <c r="J47" s="62"/>
    </row>
    <row r="48" spans="1:10" s="1" customFormat="1" ht="36" customHeight="1">
      <c r="A48" s="84" t="s">
        <v>153</v>
      </c>
      <c r="B48" s="98"/>
      <c r="C48" s="60">
        <f>C45-C46-C47</f>
        <v>825.3100000000013</v>
      </c>
      <c r="D48" s="60">
        <f>D45-D46-D47</f>
        <v>923.65</v>
      </c>
      <c r="E48" s="60">
        <f>E45-E46-E47</f>
        <v>950.1000000000006</v>
      </c>
      <c r="F48" s="61">
        <f t="shared" si="3"/>
        <v>98.33999999999867</v>
      </c>
      <c r="G48" s="62" t="s">
        <v>214</v>
      </c>
      <c r="H48" s="61">
        <f t="shared" si="2"/>
        <v>26.450000000000614</v>
      </c>
      <c r="I48" s="62" t="s">
        <v>214</v>
      </c>
      <c r="J48" s="62"/>
    </row>
    <row r="49" spans="1:10" s="1" customFormat="1" ht="34.5" customHeight="1">
      <c r="A49" s="23" t="s">
        <v>52</v>
      </c>
      <c r="B49" s="98" t="s">
        <v>53</v>
      </c>
      <c r="C49" s="60">
        <v>0</v>
      </c>
      <c r="D49" s="60">
        <v>80</v>
      </c>
      <c r="E49" s="60">
        <v>0</v>
      </c>
      <c r="F49" s="61">
        <f t="shared" si="3"/>
        <v>80</v>
      </c>
      <c r="G49" s="62" t="s">
        <v>215</v>
      </c>
      <c r="H49" s="61">
        <f t="shared" si="2"/>
        <v>-80</v>
      </c>
      <c r="I49" s="62"/>
      <c r="J49" s="92" t="s">
        <v>157</v>
      </c>
    </row>
    <row r="50" spans="1:10" s="1" customFormat="1" ht="51.75" customHeight="1">
      <c r="A50" s="23" t="s">
        <v>54</v>
      </c>
      <c r="B50" s="98" t="s">
        <v>55</v>
      </c>
      <c r="C50" s="60">
        <v>0</v>
      </c>
      <c r="D50" s="60">
        <v>700</v>
      </c>
      <c r="E50" s="60">
        <v>700</v>
      </c>
      <c r="F50" s="61">
        <f t="shared" si="3"/>
        <v>700</v>
      </c>
      <c r="G50" s="62" t="s">
        <v>216</v>
      </c>
      <c r="H50" s="61">
        <f t="shared" si="2"/>
        <v>0</v>
      </c>
      <c r="I50" s="62"/>
      <c r="J50" s="92" t="s">
        <v>157</v>
      </c>
    </row>
    <row r="51" spans="1:10" s="1" customFormat="1" ht="15.75" customHeight="1">
      <c r="A51" s="23" t="s">
        <v>56</v>
      </c>
      <c r="B51" s="98" t="s">
        <v>57</v>
      </c>
      <c r="C51" s="60">
        <v>11403.2</v>
      </c>
      <c r="D51" s="60">
        <v>9454.9</v>
      </c>
      <c r="E51" s="60">
        <f>70+40+3655.6+4221.9+297</f>
        <v>8284.5</v>
      </c>
      <c r="F51" s="61">
        <f t="shared" si="3"/>
        <v>-1948.300000000001</v>
      </c>
      <c r="G51" s="62"/>
      <c r="H51" s="61">
        <f t="shared" si="2"/>
        <v>-1170.3999999999996</v>
      </c>
      <c r="I51" s="62"/>
      <c r="J51" s="92" t="s">
        <v>157</v>
      </c>
    </row>
    <row r="52" spans="1:10" s="1" customFormat="1" ht="95.25" customHeight="1">
      <c r="A52" s="84" t="s">
        <v>154</v>
      </c>
      <c r="B52" s="98"/>
      <c r="C52" s="60">
        <f>472.76+139.33+2387.25+96.73+732.21</f>
        <v>3828.28</v>
      </c>
      <c r="D52" s="60">
        <f>551.7+166.6+2525.4+119.5+798.8</f>
        <v>4162</v>
      </c>
      <c r="E52" s="60">
        <f>3614.9+718.3</f>
        <v>4333.2</v>
      </c>
      <c r="F52" s="61">
        <f t="shared" si="3"/>
        <v>333.7199999999998</v>
      </c>
      <c r="G52" s="69" t="s">
        <v>232</v>
      </c>
      <c r="H52" s="61">
        <f t="shared" si="2"/>
        <v>171.19999999999982</v>
      </c>
      <c r="I52" s="106"/>
      <c r="J52" s="62"/>
    </row>
    <row r="53" spans="1:10" s="1" customFormat="1" ht="64.5" customHeight="1">
      <c r="A53" s="84" t="s">
        <v>159</v>
      </c>
      <c r="B53" s="98"/>
      <c r="C53" s="60">
        <f>1449.18+49.78</f>
        <v>1498.96</v>
      </c>
      <c r="D53" s="60">
        <f>55+32.45+1776.51+41</f>
        <v>1904.96</v>
      </c>
      <c r="E53" s="60">
        <f>58+1900</f>
        <v>1958</v>
      </c>
      <c r="F53" s="61">
        <f t="shared" si="3"/>
        <v>406</v>
      </c>
      <c r="G53" s="62" t="s">
        <v>234</v>
      </c>
      <c r="H53" s="61">
        <f t="shared" si="2"/>
        <v>53.039999999999964</v>
      </c>
      <c r="I53" s="62" t="s">
        <v>217</v>
      </c>
      <c r="J53" s="62"/>
    </row>
    <row r="54" spans="1:10" s="1" customFormat="1" ht="96" customHeight="1">
      <c r="A54" s="84" t="s">
        <v>155</v>
      </c>
      <c r="B54" s="98"/>
      <c r="C54" s="60">
        <f>3+103.02+46.4+4500+45+5+62.9+24.6</f>
        <v>4789.92</v>
      </c>
      <c r="D54" s="60">
        <f>43+32+97+47+84+16+63</f>
        <v>382</v>
      </c>
      <c r="E54" s="60">
        <v>297</v>
      </c>
      <c r="F54" s="61">
        <f t="shared" si="3"/>
        <v>-4407.92</v>
      </c>
      <c r="G54" s="62" t="s">
        <v>218</v>
      </c>
      <c r="H54" s="61">
        <f t="shared" si="2"/>
        <v>-85</v>
      </c>
      <c r="I54" s="62" t="s">
        <v>235</v>
      </c>
      <c r="J54" s="62"/>
    </row>
    <row r="55" spans="1:10" s="1" customFormat="1" ht="140.25" customHeight="1">
      <c r="A55" s="84" t="s">
        <v>153</v>
      </c>
      <c r="B55" s="98"/>
      <c r="C55" s="60">
        <f>C51-C52-C53-C54</f>
        <v>1286.04</v>
      </c>
      <c r="D55" s="60">
        <f>D51-D52-D53-D54</f>
        <v>3005.9399999999996</v>
      </c>
      <c r="E55" s="60">
        <f>E51-E52-E53-E54</f>
        <v>1696.3000000000002</v>
      </c>
      <c r="F55" s="61">
        <f t="shared" si="3"/>
        <v>1719.8999999999996</v>
      </c>
      <c r="G55" s="62" t="s">
        <v>219</v>
      </c>
      <c r="H55" s="61">
        <f t="shared" si="2"/>
        <v>-1309.6399999999994</v>
      </c>
      <c r="I55" s="62" t="s">
        <v>219</v>
      </c>
      <c r="J55" s="62"/>
    </row>
    <row r="56" spans="1:10" s="17" customFormat="1" ht="16.5" customHeight="1">
      <c r="A56" s="63" t="s">
        <v>58</v>
      </c>
      <c r="B56" s="97" t="s">
        <v>59</v>
      </c>
      <c r="C56" s="57">
        <f>SUM(C57)</f>
        <v>0</v>
      </c>
      <c r="D56" s="57">
        <f>SUM(D57)</f>
        <v>0</v>
      </c>
      <c r="E56" s="57">
        <f>SUM(E57)</f>
        <v>0</v>
      </c>
      <c r="F56" s="58">
        <f t="shared" si="3"/>
        <v>0</v>
      </c>
      <c r="G56" s="59"/>
      <c r="H56" s="58">
        <f t="shared" si="2"/>
        <v>0</v>
      </c>
      <c r="I56" s="59"/>
      <c r="J56" s="91" t="s">
        <v>157</v>
      </c>
    </row>
    <row r="57" spans="1:10" s="1" customFormat="1" ht="14.25" customHeight="1">
      <c r="A57" s="23" t="s">
        <v>60</v>
      </c>
      <c r="B57" s="98" t="s">
        <v>61</v>
      </c>
      <c r="C57" s="60"/>
      <c r="D57" s="60"/>
      <c r="E57" s="60"/>
      <c r="F57" s="61">
        <f t="shared" si="3"/>
        <v>0</v>
      </c>
      <c r="G57" s="62"/>
      <c r="H57" s="61">
        <f t="shared" si="2"/>
        <v>0</v>
      </c>
      <c r="I57" s="62"/>
      <c r="J57" s="92" t="s">
        <v>157</v>
      </c>
    </row>
    <row r="58" spans="1:10" s="17" customFormat="1" ht="18" customHeight="1">
      <c r="A58" s="63" t="s">
        <v>62</v>
      </c>
      <c r="B58" s="97" t="s">
        <v>63</v>
      </c>
      <c r="C58" s="57">
        <f>C59+C60+C64+C65</f>
        <v>2039.39</v>
      </c>
      <c r="D58" s="57">
        <f>D59+D60+D64+D65</f>
        <v>2230.5</v>
      </c>
      <c r="E58" s="57">
        <f>E59+E60+E64+E65</f>
        <v>2410.7</v>
      </c>
      <c r="F58" s="58">
        <f t="shared" si="3"/>
        <v>191.1099999999999</v>
      </c>
      <c r="G58" s="59"/>
      <c r="H58" s="58">
        <f t="shared" si="2"/>
        <v>180.19999999999982</v>
      </c>
      <c r="I58" s="59"/>
      <c r="J58" s="91" t="s">
        <v>157</v>
      </c>
    </row>
    <row r="59" spans="1:10" s="1" customFormat="1" ht="15.75" customHeight="1">
      <c r="A59" s="23" t="s">
        <v>64</v>
      </c>
      <c r="B59" s="98" t="s">
        <v>65</v>
      </c>
      <c r="C59" s="60"/>
      <c r="D59" s="60"/>
      <c r="E59" s="60"/>
      <c r="F59" s="61">
        <f t="shared" si="3"/>
        <v>0</v>
      </c>
      <c r="G59" s="62"/>
      <c r="H59" s="61">
        <f t="shared" si="2"/>
        <v>0</v>
      </c>
      <c r="I59" s="62"/>
      <c r="J59" s="92" t="s">
        <v>157</v>
      </c>
    </row>
    <row r="60" spans="1:10" s="1" customFormat="1" ht="15.75" customHeight="1">
      <c r="A60" s="23" t="s">
        <v>66</v>
      </c>
      <c r="B60" s="98" t="s">
        <v>67</v>
      </c>
      <c r="C60" s="60">
        <v>2039.39</v>
      </c>
      <c r="D60" s="60">
        <v>2230.5</v>
      </c>
      <c r="E60" s="60">
        <v>2410.7</v>
      </c>
      <c r="F60" s="61">
        <f t="shared" si="3"/>
        <v>191.1099999999999</v>
      </c>
      <c r="G60" s="62"/>
      <c r="H60" s="61">
        <f t="shared" si="2"/>
        <v>180.19999999999982</v>
      </c>
      <c r="I60" s="62"/>
      <c r="J60" s="92" t="s">
        <v>157</v>
      </c>
    </row>
    <row r="61" spans="1:10" s="1" customFormat="1" ht="15.75" customHeight="1">
      <c r="A61" s="84" t="s">
        <v>154</v>
      </c>
      <c r="B61" s="98"/>
      <c r="C61" s="60">
        <f>1358.33+397.22</f>
        <v>1755.55</v>
      </c>
      <c r="D61" s="60">
        <f>1402.8+423.3</f>
        <v>1826.1</v>
      </c>
      <c r="E61" s="60">
        <f>1969.8</f>
        <v>1969.8</v>
      </c>
      <c r="F61" s="61">
        <f t="shared" si="3"/>
        <v>70.54999999999995</v>
      </c>
      <c r="G61" s="62" t="s">
        <v>220</v>
      </c>
      <c r="H61" s="61">
        <f t="shared" si="2"/>
        <v>143.70000000000005</v>
      </c>
      <c r="I61" s="62"/>
      <c r="J61" s="62"/>
    </row>
    <row r="62" spans="1:10" s="1" customFormat="1" ht="15.75" customHeight="1">
      <c r="A62" s="84" t="s">
        <v>159</v>
      </c>
      <c r="B62" s="98"/>
      <c r="C62" s="60">
        <v>0</v>
      </c>
      <c r="D62" s="60">
        <v>0</v>
      </c>
      <c r="E62" s="60">
        <v>0</v>
      </c>
      <c r="F62" s="61">
        <f t="shared" si="3"/>
        <v>0</v>
      </c>
      <c r="G62" s="62"/>
      <c r="H62" s="61">
        <f t="shared" si="2"/>
        <v>0</v>
      </c>
      <c r="I62" s="62"/>
      <c r="J62" s="62"/>
    </row>
    <row r="63" spans="1:10" s="1" customFormat="1" ht="107.25" customHeight="1">
      <c r="A63" s="84" t="s">
        <v>153</v>
      </c>
      <c r="B63" s="98"/>
      <c r="C63" s="60">
        <f>C60-C61-C62</f>
        <v>283.84000000000015</v>
      </c>
      <c r="D63" s="60">
        <f>D60-D61</f>
        <v>404.4000000000001</v>
      </c>
      <c r="E63" s="60">
        <f>E60-E61</f>
        <v>440.89999999999986</v>
      </c>
      <c r="F63" s="61">
        <f t="shared" si="3"/>
        <v>120.55999999999995</v>
      </c>
      <c r="G63" s="62" t="s">
        <v>233</v>
      </c>
      <c r="H63" s="61">
        <f t="shared" si="2"/>
        <v>36.49999999999977</v>
      </c>
      <c r="I63" s="62" t="s">
        <v>237</v>
      </c>
      <c r="J63" s="62"/>
    </row>
    <row r="64" spans="1:10" s="1" customFormat="1" ht="15.75" customHeight="1">
      <c r="A64" s="23" t="s">
        <v>68</v>
      </c>
      <c r="B64" s="98" t="s">
        <v>69</v>
      </c>
      <c r="C64" s="60"/>
      <c r="D64" s="60"/>
      <c r="E64" s="60"/>
      <c r="F64" s="61">
        <f t="shared" si="3"/>
        <v>0</v>
      </c>
      <c r="G64" s="62"/>
      <c r="H64" s="61">
        <f t="shared" si="2"/>
        <v>0</v>
      </c>
      <c r="I64" s="62"/>
      <c r="J64" s="92" t="s">
        <v>157</v>
      </c>
    </row>
    <row r="65" spans="1:10" s="1" customFormat="1" ht="15.75" customHeight="1">
      <c r="A65" s="23" t="s">
        <v>70</v>
      </c>
      <c r="B65" s="98" t="s">
        <v>71</v>
      </c>
      <c r="C65" s="60"/>
      <c r="D65" s="60"/>
      <c r="E65" s="60"/>
      <c r="F65" s="61">
        <f t="shared" si="3"/>
        <v>0</v>
      </c>
      <c r="G65" s="62"/>
      <c r="H65" s="61">
        <f t="shared" si="2"/>
        <v>0</v>
      </c>
      <c r="I65" s="62"/>
      <c r="J65" s="92" t="s">
        <v>157</v>
      </c>
    </row>
    <row r="66" spans="1:10" s="17" customFormat="1" ht="15.75" customHeight="1">
      <c r="A66" s="63" t="s">
        <v>72</v>
      </c>
      <c r="B66" s="97" t="s">
        <v>73</v>
      </c>
      <c r="C66" s="57">
        <f>C67+C68+C69+C70+C71+C72+C73</f>
        <v>12170.220000000001</v>
      </c>
      <c r="D66" s="57">
        <f>D67+D68+D69+D70+D71+D72+D73</f>
        <v>15769.460000000001</v>
      </c>
      <c r="E66" s="57">
        <f>E67+E68+E69+E70+E71+E72+E73</f>
        <v>12912.900000000001</v>
      </c>
      <c r="F66" s="58">
        <f t="shared" si="3"/>
        <v>3599.24</v>
      </c>
      <c r="G66" s="59"/>
      <c r="H66" s="58">
        <f t="shared" si="2"/>
        <v>-2856.5599999999995</v>
      </c>
      <c r="I66" s="59"/>
      <c r="J66" s="91" t="s">
        <v>157</v>
      </c>
    </row>
    <row r="67" spans="1:10" s="46" customFormat="1" ht="72" customHeight="1">
      <c r="A67" s="64" t="s">
        <v>74</v>
      </c>
      <c r="B67" s="99" t="s">
        <v>75</v>
      </c>
      <c r="C67" s="65">
        <v>145.04</v>
      </c>
      <c r="D67" s="65">
        <v>150</v>
      </c>
      <c r="E67" s="65">
        <v>200</v>
      </c>
      <c r="F67" s="66">
        <f t="shared" si="3"/>
        <v>4.960000000000008</v>
      </c>
      <c r="G67" s="67"/>
      <c r="H67" s="66">
        <f t="shared" si="2"/>
        <v>50</v>
      </c>
      <c r="I67" s="67" t="s">
        <v>236</v>
      </c>
      <c r="J67" s="93" t="s">
        <v>157</v>
      </c>
    </row>
    <row r="68" spans="1:10" s="1" customFormat="1" ht="15.75" customHeight="1">
      <c r="A68" s="23" t="s">
        <v>76</v>
      </c>
      <c r="B68" s="98" t="s">
        <v>77</v>
      </c>
      <c r="C68" s="60">
        <v>0</v>
      </c>
      <c r="D68" s="60"/>
      <c r="E68" s="60"/>
      <c r="F68" s="61">
        <f t="shared" si="3"/>
        <v>0</v>
      </c>
      <c r="G68" s="62"/>
      <c r="H68" s="61">
        <f t="shared" si="2"/>
        <v>0</v>
      </c>
      <c r="I68" s="62"/>
      <c r="J68" s="92" t="s">
        <v>157</v>
      </c>
    </row>
    <row r="69" spans="1:10" s="1" customFormat="1" ht="15.75" customHeight="1">
      <c r="A69" s="23" t="s">
        <v>78</v>
      </c>
      <c r="B69" s="98" t="s">
        <v>79</v>
      </c>
      <c r="C69" s="60">
        <v>0</v>
      </c>
      <c r="D69" s="60"/>
      <c r="E69" s="60"/>
      <c r="F69" s="61">
        <f t="shared" si="3"/>
        <v>0</v>
      </c>
      <c r="G69" s="62"/>
      <c r="H69" s="61">
        <f t="shared" si="2"/>
        <v>0</v>
      </c>
      <c r="I69" s="62"/>
      <c r="J69" s="92" t="s">
        <v>157</v>
      </c>
    </row>
    <row r="70" spans="1:10" s="1" customFormat="1" ht="106.5" customHeight="1">
      <c r="A70" s="23" t="s">
        <v>80</v>
      </c>
      <c r="B70" s="98" t="s">
        <v>81</v>
      </c>
      <c r="C70" s="60">
        <v>1069.17</v>
      </c>
      <c r="D70" s="60">
        <v>1822.7</v>
      </c>
      <c r="E70" s="60">
        <f>1490.5+358.7</f>
        <v>1849.2</v>
      </c>
      <c r="F70" s="61">
        <f t="shared" si="3"/>
        <v>753.53</v>
      </c>
      <c r="G70" s="62" t="s">
        <v>221</v>
      </c>
      <c r="H70" s="61">
        <f t="shared" si="2"/>
        <v>26.5</v>
      </c>
      <c r="I70" s="62" t="s">
        <v>221</v>
      </c>
      <c r="J70" s="92" t="s">
        <v>157</v>
      </c>
    </row>
    <row r="71" spans="1:10" s="1" customFormat="1" ht="168" customHeight="1">
      <c r="A71" s="23" t="s">
        <v>82</v>
      </c>
      <c r="B71" s="98" t="s">
        <v>83</v>
      </c>
      <c r="C71" s="60">
        <v>10333.31</v>
      </c>
      <c r="D71" s="60">
        <v>13475.16</v>
      </c>
      <c r="E71" s="60">
        <f>1916.5+5812.7+2599.9+80+142.7+50+221.9+40</f>
        <v>10863.7</v>
      </c>
      <c r="F71" s="61">
        <f t="shared" si="3"/>
        <v>3141.8500000000004</v>
      </c>
      <c r="G71" s="62" t="s">
        <v>222</v>
      </c>
      <c r="H71" s="61">
        <f t="shared" si="2"/>
        <v>-2611.459999999999</v>
      </c>
      <c r="I71" s="62" t="s">
        <v>238</v>
      </c>
      <c r="J71" s="92" t="s">
        <v>157</v>
      </c>
    </row>
    <row r="72" spans="1:10" s="1" customFormat="1" ht="15.75" customHeight="1">
      <c r="A72" s="23" t="s">
        <v>84</v>
      </c>
      <c r="B72" s="98" t="s">
        <v>85</v>
      </c>
      <c r="C72" s="60">
        <v>0</v>
      </c>
      <c r="D72" s="60">
        <v>0</v>
      </c>
      <c r="E72" s="60"/>
      <c r="F72" s="61">
        <f t="shared" si="3"/>
        <v>0</v>
      </c>
      <c r="G72" s="62"/>
      <c r="H72" s="61">
        <f t="shared" si="2"/>
        <v>0</v>
      </c>
      <c r="I72" s="62"/>
      <c r="J72" s="92" t="s">
        <v>157</v>
      </c>
    </row>
    <row r="73" spans="1:10" s="1" customFormat="1" ht="84.75" customHeight="1">
      <c r="A73" s="23" t="s">
        <v>86</v>
      </c>
      <c r="B73" s="98" t="s">
        <v>87</v>
      </c>
      <c r="C73" s="60">
        <v>622.7</v>
      </c>
      <c r="D73" s="60">
        <v>321.6</v>
      </c>
      <c r="E73" s="60">
        <v>0</v>
      </c>
      <c r="F73" s="61">
        <f t="shared" si="3"/>
        <v>-301.1</v>
      </c>
      <c r="G73" s="62" t="s">
        <v>223</v>
      </c>
      <c r="H73" s="61">
        <f t="shared" si="2"/>
        <v>-321.6</v>
      </c>
      <c r="I73" s="62" t="s">
        <v>223</v>
      </c>
      <c r="J73" s="92" t="s">
        <v>157</v>
      </c>
    </row>
    <row r="74" spans="1:10" s="17" customFormat="1" ht="15" customHeight="1">
      <c r="A74" s="32" t="s">
        <v>88</v>
      </c>
      <c r="B74" s="100" t="s">
        <v>89</v>
      </c>
      <c r="C74" s="68">
        <f>C75+C76+C77+C78</f>
        <v>929.26</v>
      </c>
      <c r="D74" s="68">
        <f>D75+D76+D77+D78</f>
        <v>3025</v>
      </c>
      <c r="E74" s="68">
        <f>E75+E76+E77+E78</f>
        <v>40</v>
      </c>
      <c r="F74" s="58">
        <f t="shared" si="3"/>
        <v>2095.74</v>
      </c>
      <c r="G74" s="59"/>
      <c r="H74" s="58">
        <f t="shared" si="2"/>
        <v>-2985</v>
      </c>
      <c r="I74" s="59"/>
      <c r="J74" s="91" t="s">
        <v>157</v>
      </c>
    </row>
    <row r="75" spans="1:10" s="1" customFormat="1" ht="15" customHeight="1">
      <c r="A75" s="29" t="s">
        <v>90</v>
      </c>
      <c r="B75" s="101" t="s">
        <v>91</v>
      </c>
      <c r="C75" s="69">
        <v>0</v>
      </c>
      <c r="D75" s="69">
        <v>0</v>
      </c>
      <c r="E75" s="69">
        <v>0</v>
      </c>
      <c r="F75" s="61">
        <f t="shared" si="3"/>
        <v>0</v>
      </c>
      <c r="G75" s="62"/>
      <c r="H75" s="61">
        <f t="shared" si="2"/>
        <v>0</v>
      </c>
      <c r="I75" s="62"/>
      <c r="J75" s="92" t="s">
        <v>157</v>
      </c>
    </row>
    <row r="76" spans="1:10" s="1" customFormat="1" ht="132.75" customHeight="1">
      <c r="A76" s="29" t="s">
        <v>92</v>
      </c>
      <c r="B76" s="101" t="s">
        <v>93</v>
      </c>
      <c r="C76" s="69">
        <v>929.26</v>
      </c>
      <c r="D76" s="69">
        <v>3025</v>
      </c>
      <c r="E76" s="69">
        <v>40</v>
      </c>
      <c r="F76" s="61">
        <f t="shared" si="3"/>
        <v>2095.74</v>
      </c>
      <c r="G76" s="62" t="s">
        <v>224</v>
      </c>
      <c r="H76" s="61">
        <f t="shared" si="2"/>
        <v>-2985</v>
      </c>
      <c r="I76" s="62" t="s">
        <v>239</v>
      </c>
      <c r="J76" s="92" t="s">
        <v>157</v>
      </c>
    </row>
    <row r="77" spans="1:10" s="1" customFormat="1" ht="15" customHeight="1">
      <c r="A77" s="29" t="s">
        <v>94</v>
      </c>
      <c r="B77" s="101" t="s">
        <v>95</v>
      </c>
      <c r="C77" s="69">
        <v>0</v>
      </c>
      <c r="D77" s="69">
        <v>0</v>
      </c>
      <c r="E77" s="69">
        <v>0</v>
      </c>
      <c r="F77" s="61">
        <f t="shared" si="3"/>
        <v>0</v>
      </c>
      <c r="G77" s="62"/>
      <c r="H77" s="61">
        <f t="shared" si="2"/>
        <v>0</v>
      </c>
      <c r="I77" s="62"/>
      <c r="J77" s="92" t="s">
        <v>157</v>
      </c>
    </row>
    <row r="78" spans="1:10" s="1" customFormat="1" ht="15" customHeight="1">
      <c r="A78" s="29" t="s">
        <v>96</v>
      </c>
      <c r="B78" s="101" t="s">
        <v>97</v>
      </c>
      <c r="C78" s="62">
        <v>0</v>
      </c>
      <c r="D78" s="62">
        <v>0</v>
      </c>
      <c r="E78" s="62">
        <v>0</v>
      </c>
      <c r="F78" s="61">
        <f t="shared" si="3"/>
        <v>0</v>
      </c>
      <c r="G78" s="62"/>
      <c r="H78" s="61">
        <f t="shared" si="2"/>
        <v>0</v>
      </c>
      <c r="I78" s="62"/>
      <c r="J78" s="92" t="s">
        <v>157</v>
      </c>
    </row>
    <row r="79" spans="1:10" s="17" customFormat="1" ht="18" customHeight="1">
      <c r="A79" s="32" t="s">
        <v>98</v>
      </c>
      <c r="B79" s="100" t="s">
        <v>99</v>
      </c>
      <c r="C79" s="70">
        <f>C80+C81</f>
        <v>0</v>
      </c>
      <c r="D79" s="70">
        <f>D80+D81</f>
        <v>0</v>
      </c>
      <c r="E79" s="70">
        <f>E80+E81</f>
        <v>0</v>
      </c>
      <c r="F79" s="58">
        <f t="shared" si="3"/>
        <v>0</v>
      </c>
      <c r="G79" s="59"/>
      <c r="H79" s="58">
        <f t="shared" si="2"/>
        <v>0</v>
      </c>
      <c r="I79" s="59"/>
      <c r="J79" s="91" t="s">
        <v>157</v>
      </c>
    </row>
    <row r="80" spans="1:10" s="17" customFormat="1" ht="18" customHeight="1">
      <c r="A80" s="71" t="s">
        <v>161</v>
      </c>
      <c r="B80" s="102" t="s">
        <v>100</v>
      </c>
      <c r="C80" s="70">
        <v>0</v>
      </c>
      <c r="D80" s="70"/>
      <c r="E80" s="70"/>
      <c r="F80" s="61">
        <f t="shared" si="3"/>
        <v>0</v>
      </c>
      <c r="G80" s="59"/>
      <c r="H80" s="61">
        <f t="shared" si="2"/>
        <v>0</v>
      </c>
      <c r="I80" s="59"/>
      <c r="J80" s="91" t="s">
        <v>157</v>
      </c>
    </row>
    <row r="81" spans="1:10" s="1" customFormat="1" ht="18" customHeight="1">
      <c r="A81" s="29" t="s">
        <v>101</v>
      </c>
      <c r="B81" s="101" t="s">
        <v>102</v>
      </c>
      <c r="C81" s="62">
        <v>0</v>
      </c>
      <c r="D81" s="62"/>
      <c r="E81" s="62"/>
      <c r="F81" s="61">
        <f t="shared" si="3"/>
        <v>0</v>
      </c>
      <c r="G81" s="62"/>
      <c r="H81" s="61">
        <f t="shared" si="2"/>
        <v>0</v>
      </c>
      <c r="I81" s="62"/>
      <c r="J81" s="92" t="s">
        <v>157</v>
      </c>
    </row>
    <row r="82" spans="1:10" s="17" customFormat="1" ht="18" customHeight="1">
      <c r="A82" s="32" t="s">
        <v>168</v>
      </c>
      <c r="B82" s="100" t="s">
        <v>103</v>
      </c>
      <c r="C82" s="70">
        <f>C83+C91+C100+C107+C108+C115</f>
        <v>79146.45999999999</v>
      </c>
      <c r="D82" s="70">
        <f>D83+D91+D100+D107+D108+D115</f>
        <v>97318.15000000001</v>
      </c>
      <c r="E82" s="70">
        <f>E83+E91+E100+E107+E108+E115</f>
        <v>95351.20000000001</v>
      </c>
      <c r="F82" s="58">
        <f t="shared" si="3"/>
        <v>18171.690000000017</v>
      </c>
      <c r="G82" s="59"/>
      <c r="H82" s="58">
        <f t="shared" si="2"/>
        <v>-1966.949999999997</v>
      </c>
      <c r="I82" s="59"/>
      <c r="J82" s="91" t="s">
        <v>157</v>
      </c>
    </row>
    <row r="83" spans="1:10" s="1" customFormat="1" ht="18" customHeight="1">
      <c r="A83" s="29" t="s">
        <v>169</v>
      </c>
      <c r="B83" s="101" t="s">
        <v>104</v>
      </c>
      <c r="C83" s="62">
        <f>32457.42+25.9</f>
        <v>32483.32</v>
      </c>
      <c r="D83" s="62">
        <v>30680.5</v>
      </c>
      <c r="E83" s="62">
        <f>32295</f>
        <v>32295</v>
      </c>
      <c r="F83" s="61">
        <f t="shared" si="3"/>
        <v>-1802.8199999999997</v>
      </c>
      <c r="G83" s="62"/>
      <c r="H83" s="61">
        <f t="shared" si="2"/>
        <v>1614.5</v>
      </c>
      <c r="I83" s="62"/>
      <c r="J83" s="92" t="s">
        <v>157</v>
      </c>
    </row>
    <row r="84" spans="1:10" s="1" customFormat="1" ht="18" customHeight="1">
      <c r="A84" s="84" t="s">
        <v>170</v>
      </c>
      <c r="B84" s="101"/>
      <c r="C84" s="62">
        <v>19011.1</v>
      </c>
      <c r="D84" s="62">
        <v>19525.26</v>
      </c>
      <c r="E84" s="62">
        <f>15724.3+4757.3</f>
        <v>20481.6</v>
      </c>
      <c r="F84" s="61">
        <f t="shared" si="3"/>
        <v>514.1599999999999</v>
      </c>
      <c r="G84" s="62" t="s">
        <v>220</v>
      </c>
      <c r="H84" s="61">
        <f t="shared" si="2"/>
        <v>956.3400000000001</v>
      </c>
      <c r="I84" s="62" t="s">
        <v>220</v>
      </c>
      <c r="J84" s="62" t="s">
        <v>240</v>
      </c>
    </row>
    <row r="85" spans="1:10" s="1" customFormat="1" ht="84.75" customHeight="1">
      <c r="A85" s="84" t="s">
        <v>171</v>
      </c>
      <c r="B85" s="101"/>
      <c r="C85" s="62">
        <v>4007.4</v>
      </c>
      <c r="D85" s="62">
        <v>5441.6</v>
      </c>
      <c r="E85" s="62">
        <v>5469</v>
      </c>
      <c r="F85" s="61">
        <f t="shared" si="3"/>
        <v>1434.2000000000003</v>
      </c>
      <c r="G85" s="62" t="s">
        <v>241</v>
      </c>
      <c r="H85" s="61">
        <f t="shared" si="2"/>
        <v>27.399999999999636</v>
      </c>
      <c r="I85" s="62" t="s">
        <v>217</v>
      </c>
      <c r="J85" s="62" t="s">
        <v>242</v>
      </c>
    </row>
    <row r="86" spans="1:10" s="1" customFormat="1" ht="51" customHeight="1">
      <c r="A86" s="84" t="s">
        <v>172</v>
      </c>
      <c r="B86" s="101"/>
      <c r="C86" s="62">
        <v>115.5</v>
      </c>
      <c r="D86" s="62">
        <v>119</v>
      </c>
      <c r="E86" s="62">
        <v>183.4</v>
      </c>
      <c r="F86" s="61">
        <f t="shared" si="3"/>
        <v>3.5</v>
      </c>
      <c r="G86" s="62"/>
      <c r="H86" s="61">
        <f t="shared" si="2"/>
        <v>64.4</v>
      </c>
      <c r="I86" s="62" t="s">
        <v>243</v>
      </c>
      <c r="J86" s="62" t="s">
        <v>242</v>
      </c>
    </row>
    <row r="87" spans="1:10" s="1" customFormat="1" ht="106.5" customHeight="1">
      <c r="A87" s="85" t="s">
        <v>173</v>
      </c>
      <c r="B87" s="101"/>
      <c r="C87" s="62">
        <v>1662.6</v>
      </c>
      <c r="D87" s="62">
        <v>2379.3</v>
      </c>
      <c r="E87" s="62">
        <v>3994</v>
      </c>
      <c r="F87" s="61">
        <f t="shared" si="3"/>
        <v>716.7000000000003</v>
      </c>
      <c r="G87" s="62" t="s">
        <v>247</v>
      </c>
      <c r="H87" s="61">
        <f t="shared" si="2"/>
        <v>1614.6999999999998</v>
      </c>
      <c r="I87" s="62" t="s">
        <v>244</v>
      </c>
      <c r="J87" s="62" t="s">
        <v>242</v>
      </c>
    </row>
    <row r="88" spans="1:10" s="1" customFormat="1" ht="36.75" customHeight="1">
      <c r="A88" s="85" t="s">
        <v>174</v>
      </c>
      <c r="B88" s="101"/>
      <c r="C88" s="62">
        <f>C83-C84-C85-C86-C87-C90-C89</f>
        <v>2170.5200000000013</v>
      </c>
      <c r="D88" s="62">
        <f>D83-D84-D85-D86-D87-D89-D90</f>
        <v>2176.040000000001</v>
      </c>
      <c r="E88" s="62">
        <f>E83-E84-E85-E86-E87-E89-E90</f>
        <v>2167.000000000002</v>
      </c>
      <c r="F88" s="61">
        <f t="shared" si="3"/>
        <v>5.519999999999527</v>
      </c>
      <c r="G88" s="62"/>
      <c r="H88" s="61">
        <f t="shared" si="2"/>
        <v>-9.039999999999054</v>
      </c>
      <c r="I88" s="62"/>
      <c r="J88" s="62" t="s">
        <v>242</v>
      </c>
    </row>
    <row r="89" spans="1:10" s="1" customFormat="1" ht="119.25" customHeight="1">
      <c r="A89" s="85" t="s">
        <v>175</v>
      </c>
      <c r="B89" s="101"/>
      <c r="C89" s="62">
        <f>193.2+70</f>
        <v>263.2</v>
      </c>
      <c r="D89" s="69">
        <v>1039.3</v>
      </c>
      <c r="E89" s="62">
        <v>0</v>
      </c>
      <c r="F89" s="61">
        <f t="shared" si="3"/>
        <v>776.0999999999999</v>
      </c>
      <c r="G89" s="106"/>
      <c r="H89" s="61">
        <f t="shared" si="2"/>
        <v>-1039.3</v>
      </c>
      <c r="I89" s="62" t="s">
        <v>245</v>
      </c>
      <c r="J89" s="62"/>
    </row>
    <row r="90" spans="1:10" s="1" customFormat="1" ht="57" customHeight="1">
      <c r="A90" s="85" t="s">
        <v>176</v>
      </c>
      <c r="B90" s="101"/>
      <c r="C90" s="62">
        <f>167.3+5059.8+25.9</f>
        <v>5253</v>
      </c>
      <c r="D90" s="62">
        <v>0</v>
      </c>
      <c r="E90" s="62">
        <v>0</v>
      </c>
      <c r="F90" s="61">
        <f t="shared" si="3"/>
        <v>-5253</v>
      </c>
      <c r="G90" s="62" t="s">
        <v>225</v>
      </c>
      <c r="H90" s="61">
        <f t="shared" si="2"/>
        <v>0</v>
      </c>
      <c r="I90" s="62"/>
      <c r="J90" s="92" t="s">
        <v>157</v>
      </c>
    </row>
    <row r="91" spans="1:10" s="1" customFormat="1" ht="18" customHeight="1">
      <c r="A91" s="29" t="s">
        <v>177</v>
      </c>
      <c r="B91" s="101" t="s">
        <v>105</v>
      </c>
      <c r="C91" s="62">
        <f>30607.19+186.58</f>
        <v>30793.77</v>
      </c>
      <c r="D91" s="69">
        <f>47059.9+698.4</f>
        <v>47758.3</v>
      </c>
      <c r="E91" s="69">
        <f>161329.1-101635+668.5-6685.5-8749.4</f>
        <v>44927.700000000004</v>
      </c>
      <c r="F91" s="61">
        <f t="shared" si="3"/>
        <v>16964.530000000002</v>
      </c>
      <c r="G91" s="62"/>
      <c r="H91" s="61">
        <f t="shared" si="2"/>
        <v>-2830.5999999999985</v>
      </c>
      <c r="I91" s="62"/>
      <c r="J91" s="92" t="s">
        <v>157</v>
      </c>
    </row>
    <row r="92" spans="1:10" s="1" customFormat="1" ht="18" customHeight="1">
      <c r="A92" s="84" t="s">
        <v>170</v>
      </c>
      <c r="B92" s="101"/>
      <c r="C92" s="62">
        <v>9323.6</v>
      </c>
      <c r="D92" s="69">
        <v>11637.47</v>
      </c>
      <c r="E92" s="69">
        <f>9200.7+2781.4+49</f>
        <v>12031.1</v>
      </c>
      <c r="F92" s="61">
        <f t="shared" si="3"/>
        <v>2313.869999999999</v>
      </c>
      <c r="G92" s="62" t="s">
        <v>220</v>
      </c>
      <c r="H92" s="61">
        <f t="shared" si="2"/>
        <v>393.630000000001</v>
      </c>
      <c r="I92" s="62" t="s">
        <v>220</v>
      </c>
      <c r="J92" s="62" t="s">
        <v>240</v>
      </c>
    </row>
    <row r="93" spans="1:10" s="1" customFormat="1" ht="84.75" customHeight="1">
      <c r="A93" s="84" t="s">
        <v>171</v>
      </c>
      <c r="B93" s="101"/>
      <c r="C93" s="69">
        <v>5469.8</v>
      </c>
      <c r="D93" s="69">
        <v>9125.3</v>
      </c>
      <c r="E93" s="69">
        <v>9200</v>
      </c>
      <c r="F93" s="61">
        <f t="shared" si="3"/>
        <v>3655.499999999999</v>
      </c>
      <c r="G93" s="62" t="s">
        <v>259</v>
      </c>
      <c r="H93" s="61">
        <f t="shared" si="2"/>
        <v>74.70000000000073</v>
      </c>
      <c r="I93" s="62" t="s">
        <v>217</v>
      </c>
      <c r="J93" s="62" t="s">
        <v>242</v>
      </c>
    </row>
    <row r="94" spans="1:10" s="1" customFormat="1" ht="36.75" customHeight="1">
      <c r="A94" s="84" t="s">
        <v>172</v>
      </c>
      <c r="B94" s="101"/>
      <c r="C94" s="62">
        <f>753.8+150</f>
        <v>903.8</v>
      </c>
      <c r="D94" s="62">
        <v>1148.9</v>
      </c>
      <c r="E94" s="62">
        <v>2237.4</v>
      </c>
      <c r="F94" s="61">
        <f t="shared" si="3"/>
        <v>245.10000000000014</v>
      </c>
      <c r="G94" s="69" t="s">
        <v>252</v>
      </c>
      <c r="H94" s="61">
        <f t="shared" si="2"/>
        <v>1088.5</v>
      </c>
      <c r="I94" s="62" t="s">
        <v>243</v>
      </c>
      <c r="J94" s="62" t="s">
        <v>242</v>
      </c>
    </row>
    <row r="95" spans="1:10" s="1" customFormat="1" ht="129.75" customHeight="1">
      <c r="A95" s="85" t="s">
        <v>173</v>
      </c>
      <c r="B95" s="101"/>
      <c r="C95" s="62">
        <f>186.58+909.63</f>
        <v>1096.21</v>
      </c>
      <c r="D95" s="69">
        <f>698.4+100+659.7</f>
        <v>1458.1</v>
      </c>
      <c r="E95" s="69">
        <f>1506.2</f>
        <v>1506.2</v>
      </c>
      <c r="F95" s="61">
        <f t="shared" si="3"/>
        <v>361.8899999999999</v>
      </c>
      <c r="G95" s="62" t="s">
        <v>249</v>
      </c>
      <c r="H95" s="61">
        <f t="shared" si="2"/>
        <v>48.100000000000136</v>
      </c>
      <c r="I95" s="62" t="s">
        <v>248</v>
      </c>
      <c r="J95" s="62" t="s">
        <v>242</v>
      </c>
    </row>
    <row r="96" spans="1:10" s="1" customFormat="1" ht="154.5" customHeight="1">
      <c r="A96" s="85" t="s">
        <v>178</v>
      </c>
      <c r="B96" s="101"/>
      <c r="C96" s="62">
        <f>3679.85+123.2</f>
        <v>3803.0499999999997</v>
      </c>
      <c r="D96" s="69">
        <f>6006.9+114.6</f>
        <v>6121.5</v>
      </c>
      <c r="E96" s="69">
        <v>6667.7</v>
      </c>
      <c r="F96" s="61">
        <f t="shared" si="3"/>
        <v>2318.4500000000003</v>
      </c>
      <c r="G96" s="62" t="s">
        <v>247</v>
      </c>
      <c r="H96" s="61">
        <f t="shared" si="2"/>
        <v>546.1999999999998</v>
      </c>
      <c r="I96" s="69" t="s">
        <v>246</v>
      </c>
      <c r="J96" s="62" t="s">
        <v>242</v>
      </c>
    </row>
    <row r="97" spans="1:10" s="1" customFormat="1" ht="81" customHeight="1">
      <c r="A97" s="85" t="s">
        <v>174</v>
      </c>
      <c r="B97" s="101"/>
      <c r="C97" s="69">
        <f>C91-C92-C93-C94-C95-C96-C98-C99</f>
        <v>6406.810000000001</v>
      </c>
      <c r="D97" s="69">
        <f>D91-D92-D93-D94-D95-D96-D98-D99</f>
        <v>7027.130000000003</v>
      </c>
      <c r="E97" s="69">
        <f>E91-E92-E93-E94-E95-E96-E98-E99</f>
        <v>7154.800000000003</v>
      </c>
      <c r="F97" s="61">
        <f t="shared" si="3"/>
        <v>620.3200000000015</v>
      </c>
      <c r="G97" s="62" t="s">
        <v>247</v>
      </c>
      <c r="H97" s="61">
        <f t="shared" si="2"/>
        <v>127.67000000000007</v>
      </c>
      <c r="I97" s="62" t="s">
        <v>214</v>
      </c>
      <c r="J97" s="62" t="s">
        <v>242</v>
      </c>
    </row>
    <row r="98" spans="1:10" s="1" customFormat="1" ht="123" customHeight="1">
      <c r="A98" s="85" t="s">
        <v>175</v>
      </c>
      <c r="B98" s="101"/>
      <c r="C98" s="62">
        <f>6290.5-2500</f>
        <v>3790.5</v>
      </c>
      <c r="D98" s="69">
        <f>2914.9+225+650+100</f>
        <v>3889.9</v>
      </c>
      <c r="E98" s="69">
        <f>1357</f>
        <v>1357</v>
      </c>
      <c r="F98" s="61">
        <f t="shared" si="3"/>
        <v>99.40000000000009</v>
      </c>
      <c r="G98" s="62"/>
      <c r="H98" s="61">
        <f t="shared" si="2"/>
        <v>-2532.9</v>
      </c>
      <c r="I98" s="62" t="s">
        <v>245</v>
      </c>
      <c r="J98" s="92" t="s">
        <v>157</v>
      </c>
    </row>
    <row r="99" spans="1:10" s="1" customFormat="1" ht="103.5" customHeight="1">
      <c r="A99" s="85" t="s">
        <v>176</v>
      </c>
      <c r="B99" s="101"/>
      <c r="C99" s="62">
        <v>0</v>
      </c>
      <c r="D99" s="69">
        <v>7350</v>
      </c>
      <c r="E99" s="69">
        <v>4773.5</v>
      </c>
      <c r="F99" s="61">
        <f t="shared" si="3"/>
        <v>7350</v>
      </c>
      <c r="G99" s="62" t="s">
        <v>250</v>
      </c>
      <c r="H99" s="61">
        <f t="shared" si="2"/>
        <v>-2576.5</v>
      </c>
      <c r="I99" s="62" t="s">
        <v>251</v>
      </c>
      <c r="J99" s="92" t="s">
        <v>157</v>
      </c>
    </row>
    <row r="100" spans="1:10" s="1" customFormat="1" ht="18" customHeight="1">
      <c r="A100" s="29" t="s">
        <v>179</v>
      </c>
      <c r="B100" s="101" t="s">
        <v>106</v>
      </c>
      <c r="C100" s="62">
        <v>7519.23</v>
      </c>
      <c r="D100" s="69">
        <v>9670.35</v>
      </c>
      <c r="E100" s="69">
        <f>2660.1+10.4+14+5764.6+20</f>
        <v>8469.1</v>
      </c>
      <c r="F100" s="61">
        <f t="shared" si="3"/>
        <v>2151.120000000001</v>
      </c>
      <c r="G100" s="62"/>
      <c r="H100" s="61">
        <f t="shared" si="2"/>
        <v>-1201.25</v>
      </c>
      <c r="I100" s="62"/>
      <c r="J100" s="92" t="s">
        <v>157</v>
      </c>
    </row>
    <row r="101" spans="1:10" s="1" customFormat="1" ht="18" customHeight="1">
      <c r="A101" s="84" t="s">
        <v>170</v>
      </c>
      <c r="B101" s="101"/>
      <c r="C101" s="62">
        <v>6232.82</v>
      </c>
      <c r="D101" s="69">
        <f>6215.5+300</f>
        <v>6515.5</v>
      </c>
      <c r="E101" s="69">
        <f>62+18.7+3571.6+1083.7+1470.7+433.2+39</f>
        <v>6678.9</v>
      </c>
      <c r="F101" s="61">
        <f aca="true" t="shared" si="4" ref="F101:F168">D101-C101</f>
        <v>282.6800000000003</v>
      </c>
      <c r="G101" s="62" t="s">
        <v>220</v>
      </c>
      <c r="H101" s="61">
        <f t="shared" si="2"/>
        <v>163.39999999999964</v>
      </c>
      <c r="I101" s="62" t="s">
        <v>220</v>
      </c>
      <c r="J101" s="62" t="s">
        <v>240</v>
      </c>
    </row>
    <row r="102" spans="1:10" s="1" customFormat="1" ht="81" customHeight="1">
      <c r="A102" s="84" t="s">
        <v>171</v>
      </c>
      <c r="B102" s="101"/>
      <c r="C102" s="62">
        <v>360</v>
      </c>
      <c r="D102" s="69">
        <v>538.4</v>
      </c>
      <c r="E102" s="69">
        <f>351+227.3</f>
        <v>578.3</v>
      </c>
      <c r="F102" s="61">
        <f t="shared" si="4"/>
        <v>178.39999999999998</v>
      </c>
      <c r="G102" s="62" t="s">
        <v>241</v>
      </c>
      <c r="H102" s="61">
        <f t="shared" si="2"/>
        <v>39.89999999999998</v>
      </c>
      <c r="I102" s="62" t="s">
        <v>217</v>
      </c>
      <c r="J102" s="62" t="s">
        <v>242</v>
      </c>
    </row>
    <row r="103" spans="1:10" s="1" customFormat="1" ht="34.5" customHeight="1">
      <c r="A103" s="84" t="s">
        <v>172</v>
      </c>
      <c r="B103" s="101"/>
      <c r="C103" s="62">
        <v>30</v>
      </c>
      <c r="D103" s="62">
        <v>42</v>
      </c>
      <c r="E103" s="62">
        <v>85</v>
      </c>
      <c r="F103" s="61">
        <f t="shared" si="4"/>
        <v>12</v>
      </c>
      <c r="G103" s="62" t="s">
        <v>252</v>
      </c>
      <c r="H103" s="61">
        <f t="shared" si="2"/>
        <v>43</v>
      </c>
      <c r="I103" s="62" t="s">
        <v>243</v>
      </c>
      <c r="J103" s="62" t="s">
        <v>242</v>
      </c>
    </row>
    <row r="104" spans="1:10" s="1" customFormat="1" ht="81" customHeight="1">
      <c r="A104" s="85" t="s">
        <v>174</v>
      </c>
      <c r="B104" s="101"/>
      <c r="C104" s="69">
        <f>C100-C101-C102-C103-C105-C106</f>
        <v>722.9099999999999</v>
      </c>
      <c r="D104" s="69">
        <f>D100-D101-D102-D103-D105-D106</f>
        <v>830.8000000000002</v>
      </c>
      <c r="E104" s="69">
        <f>E100-E101-E102-E103-E105-E106</f>
        <v>1126.9000000000008</v>
      </c>
      <c r="F104" s="61">
        <f t="shared" si="4"/>
        <v>107.89000000000033</v>
      </c>
      <c r="G104" s="62" t="s">
        <v>247</v>
      </c>
      <c r="H104" s="61">
        <f t="shared" si="2"/>
        <v>296.1000000000006</v>
      </c>
      <c r="I104" s="62" t="s">
        <v>214</v>
      </c>
      <c r="J104" s="62" t="s">
        <v>242</v>
      </c>
    </row>
    <row r="105" spans="1:10" s="1" customFormat="1" ht="197.25" customHeight="1">
      <c r="A105" s="85" t="s">
        <v>175</v>
      </c>
      <c r="B105" s="101"/>
      <c r="C105" s="62">
        <f>123.5+50</f>
        <v>173.5</v>
      </c>
      <c r="D105" s="69">
        <v>1743.65</v>
      </c>
      <c r="E105" s="69">
        <v>0</v>
      </c>
      <c r="F105" s="61">
        <f t="shared" si="4"/>
        <v>1570.15</v>
      </c>
      <c r="G105" s="62" t="s">
        <v>253</v>
      </c>
      <c r="H105" s="61">
        <f t="shared" si="2"/>
        <v>-1743.65</v>
      </c>
      <c r="I105" s="62" t="s">
        <v>245</v>
      </c>
      <c r="J105" s="92" t="s">
        <v>157</v>
      </c>
    </row>
    <row r="106" spans="1:10" s="1" customFormat="1" ht="18" customHeight="1">
      <c r="A106" s="85" t="s">
        <v>176</v>
      </c>
      <c r="B106" s="101"/>
      <c r="C106" s="62">
        <v>0</v>
      </c>
      <c r="D106" s="69">
        <v>0</v>
      </c>
      <c r="E106" s="69">
        <v>0</v>
      </c>
      <c r="F106" s="61">
        <f t="shared" si="4"/>
        <v>0</v>
      </c>
      <c r="G106" s="62"/>
      <c r="H106" s="61">
        <f t="shared" si="2"/>
        <v>0</v>
      </c>
      <c r="I106" s="62"/>
      <c r="J106" s="92" t="s">
        <v>157</v>
      </c>
    </row>
    <row r="107" spans="1:10" s="1" customFormat="1" ht="76.5" customHeight="1">
      <c r="A107" s="29" t="s">
        <v>180</v>
      </c>
      <c r="B107" s="101" t="s">
        <v>107</v>
      </c>
      <c r="C107" s="62">
        <v>43.19</v>
      </c>
      <c r="D107" s="62">
        <v>205</v>
      </c>
      <c r="E107" s="62">
        <v>205</v>
      </c>
      <c r="F107" s="61">
        <f t="shared" si="4"/>
        <v>161.81</v>
      </c>
      <c r="G107" s="62" t="s">
        <v>254</v>
      </c>
      <c r="H107" s="61">
        <f t="shared" si="2"/>
        <v>0</v>
      </c>
      <c r="I107" s="62"/>
      <c r="J107" s="92" t="s">
        <v>157</v>
      </c>
    </row>
    <row r="108" spans="1:10" s="1" customFormat="1" ht="18" customHeight="1">
      <c r="A108" s="29" t="s">
        <v>181</v>
      </c>
      <c r="B108" s="101" t="s">
        <v>108</v>
      </c>
      <c r="C108" s="62">
        <v>179.64</v>
      </c>
      <c r="D108" s="62">
        <v>410</v>
      </c>
      <c r="E108" s="62">
        <f>210+325</f>
        <v>535</v>
      </c>
      <c r="F108" s="61">
        <f t="shared" si="4"/>
        <v>230.36</v>
      </c>
      <c r="G108" s="62"/>
      <c r="H108" s="61">
        <f t="shared" si="2"/>
        <v>125</v>
      </c>
      <c r="I108" s="62"/>
      <c r="J108" s="92" t="s">
        <v>157</v>
      </c>
    </row>
    <row r="109" spans="1:10" s="1" customFormat="1" ht="18" customHeight="1">
      <c r="A109" s="84" t="s">
        <v>170</v>
      </c>
      <c r="B109" s="101"/>
      <c r="C109" s="62">
        <v>0</v>
      </c>
      <c r="D109" s="62">
        <v>0</v>
      </c>
      <c r="E109" s="62">
        <v>0</v>
      </c>
      <c r="F109" s="61">
        <f t="shared" si="4"/>
        <v>0</v>
      </c>
      <c r="G109" s="62"/>
      <c r="H109" s="61">
        <f t="shared" si="2"/>
        <v>0</v>
      </c>
      <c r="I109" s="62"/>
      <c r="J109" s="62"/>
    </row>
    <row r="110" spans="1:10" s="1" customFormat="1" ht="18" customHeight="1">
      <c r="A110" s="84" t="s">
        <v>171</v>
      </c>
      <c r="B110" s="101"/>
      <c r="C110" s="62">
        <v>0</v>
      </c>
      <c r="D110" s="62">
        <v>0</v>
      </c>
      <c r="E110" s="62">
        <v>0</v>
      </c>
      <c r="F110" s="61">
        <f t="shared" si="4"/>
        <v>0</v>
      </c>
      <c r="G110" s="62"/>
      <c r="H110" s="61">
        <f t="shared" si="2"/>
        <v>0</v>
      </c>
      <c r="I110" s="62"/>
      <c r="J110" s="62"/>
    </row>
    <row r="111" spans="1:10" s="1" customFormat="1" ht="16.5" customHeight="1">
      <c r="A111" s="84" t="s">
        <v>172</v>
      </c>
      <c r="B111" s="101"/>
      <c r="C111" s="62">
        <v>0</v>
      </c>
      <c r="D111" s="62">
        <v>0</v>
      </c>
      <c r="E111" s="62">
        <v>0</v>
      </c>
      <c r="F111" s="61">
        <f t="shared" si="4"/>
        <v>0</v>
      </c>
      <c r="G111" s="62"/>
      <c r="H111" s="61">
        <f t="shared" si="2"/>
        <v>0</v>
      </c>
      <c r="I111" s="62"/>
      <c r="J111" s="62"/>
    </row>
    <row r="112" spans="1:10" s="1" customFormat="1" ht="130.5" customHeight="1">
      <c r="A112" s="85" t="s">
        <v>162</v>
      </c>
      <c r="B112" s="101"/>
      <c r="C112" s="62">
        <f>C108-C109-C110-C111-C113-C114</f>
        <v>179.64</v>
      </c>
      <c r="D112" s="62">
        <f>D108-D109-D110-D111-D113-D114</f>
        <v>410</v>
      </c>
      <c r="E112" s="62">
        <f>E108-E109-E110-E111-E113-E114</f>
        <v>535</v>
      </c>
      <c r="F112" s="61">
        <f t="shared" si="4"/>
        <v>230.36</v>
      </c>
      <c r="G112" s="62" t="s">
        <v>254</v>
      </c>
      <c r="H112" s="61">
        <f t="shared" si="2"/>
        <v>125</v>
      </c>
      <c r="I112" s="62" t="s">
        <v>255</v>
      </c>
      <c r="J112" s="62" t="s">
        <v>242</v>
      </c>
    </row>
    <row r="113" spans="1:10" s="1" customFormat="1" ht="18" customHeight="1">
      <c r="A113" s="85" t="s">
        <v>163</v>
      </c>
      <c r="B113" s="101"/>
      <c r="C113" s="62">
        <v>0</v>
      </c>
      <c r="D113" s="62">
        <v>0</v>
      </c>
      <c r="E113" s="62">
        <v>0</v>
      </c>
      <c r="F113" s="61">
        <f t="shared" si="4"/>
        <v>0</v>
      </c>
      <c r="G113" s="62"/>
      <c r="H113" s="61">
        <f t="shared" si="2"/>
        <v>0</v>
      </c>
      <c r="I113" s="62"/>
      <c r="J113" s="92" t="s">
        <v>157</v>
      </c>
    </row>
    <row r="114" spans="1:10" s="1" customFormat="1" ht="18" customHeight="1">
      <c r="A114" s="85" t="s">
        <v>164</v>
      </c>
      <c r="B114" s="101"/>
      <c r="C114" s="62">
        <v>0</v>
      </c>
      <c r="D114" s="62">
        <v>0</v>
      </c>
      <c r="E114" s="62">
        <v>0</v>
      </c>
      <c r="F114" s="61">
        <f t="shared" si="4"/>
        <v>0</v>
      </c>
      <c r="G114" s="62"/>
      <c r="H114" s="61">
        <f t="shared" si="2"/>
        <v>0</v>
      </c>
      <c r="I114" s="62"/>
      <c r="J114" s="92" t="s">
        <v>157</v>
      </c>
    </row>
    <row r="115" spans="1:10" s="1" customFormat="1" ht="18" customHeight="1">
      <c r="A115" s="29" t="s">
        <v>182</v>
      </c>
      <c r="B115" s="101" t="s">
        <v>109</v>
      </c>
      <c r="C115" s="62">
        <v>8127.31</v>
      </c>
      <c r="D115" s="62">
        <v>8594</v>
      </c>
      <c r="E115" s="62">
        <f>279-125.3+20+8745.7</f>
        <v>8919.400000000001</v>
      </c>
      <c r="F115" s="61">
        <f t="shared" si="4"/>
        <v>466.6899999999996</v>
      </c>
      <c r="G115" s="62"/>
      <c r="H115" s="61">
        <f t="shared" si="2"/>
        <v>325.40000000000146</v>
      </c>
      <c r="I115" s="62"/>
      <c r="J115" s="92" t="s">
        <v>157</v>
      </c>
    </row>
    <row r="116" spans="1:10" s="1" customFormat="1" ht="19.5" customHeight="1">
      <c r="A116" s="29" t="s">
        <v>160</v>
      </c>
      <c r="B116" s="101"/>
      <c r="C116" s="62">
        <v>1206</v>
      </c>
      <c r="D116" s="62">
        <v>1146.5</v>
      </c>
      <c r="E116" s="62">
        <v>1161.5</v>
      </c>
      <c r="F116" s="61">
        <f t="shared" si="4"/>
        <v>-59.5</v>
      </c>
      <c r="G116" s="62"/>
      <c r="H116" s="61">
        <f t="shared" si="2"/>
        <v>15</v>
      </c>
      <c r="I116" s="62"/>
      <c r="J116" s="92" t="s">
        <v>157</v>
      </c>
    </row>
    <row r="117" spans="1:10" s="1" customFormat="1" ht="66.75" customHeight="1">
      <c r="A117" s="84" t="s">
        <v>183</v>
      </c>
      <c r="B117" s="101"/>
      <c r="C117" s="62">
        <f>892.94+36.68+276.36</f>
        <v>1205.98</v>
      </c>
      <c r="D117" s="62">
        <v>1146.5</v>
      </c>
      <c r="E117" s="62">
        <v>1161.5</v>
      </c>
      <c r="F117" s="61">
        <f t="shared" si="4"/>
        <v>-59.48000000000002</v>
      </c>
      <c r="G117" s="62" t="s">
        <v>256</v>
      </c>
      <c r="H117" s="61">
        <f t="shared" si="2"/>
        <v>15</v>
      </c>
      <c r="I117" s="106"/>
      <c r="J117" s="62" t="s">
        <v>157</v>
      </c>
    </row>
    <row r="118" spans="1:10" s="1" customFormat="1" ht="18" customHeight="1">
      <c r="A118" s="84" t="s">
        <v>171</v>
      </c>
      <c r="B118" s="101"/>
      <c r="C118" s="62">
        <v>0</v>
      </c>
      <c r="D118" s="62">
        <v>0</v>
      </c>
      <c r="E118" s="62">
        <v>0</v>
      </c>
      <c r="F118" s="61">
        <f t="shared" si="4"/>
        <v>0</v>
      </c>
      <c r="G118" s="62"/>
      <c r="H118" s="61">
        <f t="shared" si="2"/>
        <v>0</v>
      </c>
      <c r="I118" s="62"/>
      <c r="J118" s="62"/>
    </row>
    <row r="119" spans="1:10" s="1" customFormat="1" ht="18" customHeight="1">
      <c r="A119" s="84" t="s">
        <v>184</v>
      </c>
      <c r="B119" s="101"/>
      <c r="C119" s="62">
        <v>0</v>
      </c>
      <c r="D119" s="62">
        <v>0</v>
      </c>
      <c r="E119" s="62">
        <v>0</v>
      </c>
      <c r="F119" s="61">
        <f t="shared" si="4"/>
        <v>0</v>
      </c>
      <c r="G119" s="62"/>
      <c r="H119" s="61">
        <f t="shared" si="2"/>
        <v>0</v>
      </c>
      <c r="I119" s="62"/>
      <c r="J119" s="62"/>
    </row>
    <row r="120" spans="1:10" s="1" customFormat="1" ht="18" customHeight="1">
      <c r="A120" s="29" t="s">
        <v>165</v>
      </c>
      <c r="B120" s="101"/>
      <c r="C120" s="62">
        <f>20+6865.15+36.17</f>
        <v>6921.32</v>
      </c>
      <c r="D120" s="62">
        <f>86+24+20+7317.5</f>
        <v>7447.5</v>
      </c>
      <c r="E120" s="62">
        <f>8919.4-1161.5</f>
        <v>7757.9</v>
      </c>
      <c r="F120" s="61">
        <f t="shared" si="4"/>
        <v>526.1800000000003</v>
      </c>
      <c r="G120" s="62"/>
      <c r="H120" s="61">
        <f t="shared" si="2"/>
        <v>310.39999999999964</v>
      </c>
      <c r="I120" s="62"/>
      <c r="J120" s="92" t="s">
        <v>157</v>
      </c>
    </row>
    <row r="121" spans="1:10" s="1" customFormat="1" ht="81" customHeight="1">
      <c r="A121" s="84" t="s">
        <v>183</v>
      </c>
      <c r="B121" s="101"/>
      <c r="C121" s="62">
        <f>3958.42+1173.57</f>
        <v>5131.99</v>
      </c>
      <c r="D121" s="62">
        <f>4254+1266</f>
        <v>5520</v>
      </c>
      <c r="E121" s="62">
        <v>5666.9</v>
      </c>
      <c r="F121" s="61">
        <f t="shared" si="4"/>
        <v>388.0100000000002</v>
      </c>
      <c r="G121" s="62" t="s">
        <v>257</v>
      </c>
      <c r="H121" s="61">
        <f t="shared" si="2"/>
        <v>146.89999999999964</v>
      </c>
      <c r="I121" s="106"/>
      <c r="J121" s="62" t="s">
        <v>240</v>
      </c>
    </row>
    <row r="122" spans="1:10" s="1" customFormat="1" ht="18" customHeight="1">
      <c r="A122" s="84" t="s">
        <v>171</v>
      </c>
      <c r="B122" s="101"/>
      <c r="C122" s="62">
        <v>90.14</v>
      </c>
      <c r="D122" s="62">
        <f>21+97.75</f>
        <v>118.75</v>
      </c>
      <c r="E122" s="62">
        <v>167</v>
      </c>
      <c r="F122" s="61">
        <f t="shared" si="4"/>
        <v>28.61</v>
      </c>
      <c r="G122" s="62" t="s">
        <v>217</v>
      </c>
      <c r="H122" s="61">
        <f t="shared" si="2"/>
        <v>48.25</v>
      </c>
      <c r="I122" s="62" t="s">
        <v>217</v>
      </c>
      <c r="J122" s="62"/>
    </row>
    <row r="123" spans="1:10" s="1" customFormat="1" ht="49.5" customHeight="1">
      <c r="A123" s="85" t="s">
        <v>174</v>
      </c>
      <c r="B123" s="101"/>
      <c r="C123" s="62">
        <f>C120-C121-C122-C124-C125</f>
        <v>1522.6899999999998</v>
      </c>
      <c r="D123" s="62">
        <f>D120-D121-D122-D124-D125</f>
        <v>1753.75</v>
      </c>
      <c r="E123" s="62">
        <f>E120-E121-E122-E124-E125</f>
        <v>1924</v>
      </c>
      <c r="F123" s="61">
        <f t="shared" si="4"/>
        <v>231.06000000000017</v>
      </c>
      <c r="G123" s="62" t="s">
        <v>214</v>
      </c>
      <c r="H123" s="61">
        <f t="shared" si="2"/>
        <v>170.25</v>
      </c>
      <c r="I123" s="62" t="s">
        <v>214</v>
      </c>
      <c r="J123" s="62"/>
    </row>
    <row r="124" spans="1:10" s="1" customFormat="1" ht="118.5" customHeight="1">
      <c r="A124" s="85" t="s">
        <v>175</v>
      </c>
      <c r="B124" s="101"/>
      <c r="C124" s="69">
        <v>176.5</v>
      </c>
      <c r="D124" s="62">
        <f>20+35</f>
        <v>55</v>
      </c>
      <c r="E124" s="62">
        <v>0</v>
      </c>
      <c r="F124" s="61">
        <f t="shared" si="4"/>
        <v>-121.5</v>
      </c>
      <c r="G124" s="62"/>
      <c r="H124" s="61">
        <f t="shared" si="2"/>
        <v>-55</v>
      </c>
      <c r="I124" s="62" t="s">
        <v>245</v>
      </c>
      <c r="J124" s="92" t="s">
        <v>157</v>
      </c>
    </row>
    <row r="125" spans="1:10" s="1" customFormat="1" ht="18" customHeight="1">
      <c r="A125" s="85" t="s">
        <v>176</v>
      </c>
      <c r="B125" s="101"/>
      <c r="C125" s="62">
        <v>0</v>
      </c>
      <c r="D125" s="62">
        <v>0</v>
      </c>
      <c r="E125" s="62">
        <v>0</v>
      </c>
      <c r="F125" s="61">
        <f t="shared" si="4"/>
        <v>0</v>
      </c>
      <c r="G125" s="62"/>
      <c r="H125" s="61">
        <f t="shared" si="2"/>
        <v>0</v>
      </c>
      <c r="I125" s="62"/>
      <c r="J125" s="92" t="s">
        <v>157</v>
      </c>
    </row>
    <row r="126" spans="1:10" s="17" customFormat="1" ht="18" customHeight="1">
      <c r="A126" s="32" t="s">
        <v>185</v>
      </c>
      <c r="B126" s="100" t="s">
        <v>110</v>
      </c>
      <c r="C126" s="70">
        <f>C127+C134</f>
        <v>30018.53</v>
      </c>
      <c r="D126" s="70">
        <f>D127+D134</f>
        <v>38902.4</v>
      </c>
      <c r="E126" s="70">
        <f>E127+E134</f>
        <v>34761.49999999999</v>
      </c>
      <c r="F126" s="58">
        <f t="shared" si="4"/>
        <v>8883.870000000003</v>
      </c>
      <c r="G126" s="59"/>
      <c r="H126" s="58">
        <f t="shared" si="2"/>
        <v>-4140.900000000009</v>
      </c>
      <c r="I126" s="59"/>
      <c r="J126" s="91" t="s">
        <v>157</v>
      </c>
    </row>
    <row r="127" spans="1:10" s="1" customFormat="1" ht="18" customHeight="1">
      <c r="A127" s="29" t="s">
        <v>186</v>
      </c>
      <c r="B127" s="101" t="s">
        <v>111</v>
      </c>
      <c r="C127" s="62">
        <f>21388.46+156.9+1.5+1</f>
        <v>21547.86</v>
      </c>
      <c r="D127" s="62">
        <f>26995+1+0.5+0.5+1</f>
        <v>26998</v>
      </c>
      <c r="E127" s="62">
        <f>35003.2-5083.7-5423.6</f>
        <v>24495.899999999994</v>
      </c>
      <c r="F127" s="61">
        <f t="shared" si="4"/>
        <v>5450.139999999999</v>
      </c>
      <c r="G127" s="62"/>
      <c r="H127" s="61">
        <f t="shared" si="2"/>
        <v>-2502.100000000006</v>
      </c>
      <c r="I127" s="62"/>
      <c r="J127" s="92" t="s">
        <v>157</v>
      </c>
    </row>
    <row r="128" spans="1:10" s="1" customFormat="1" ht="51" customHeight="1">
      <c r="A128" s="84" t="s">
        <v>170</v>
      </c>
      <c r="B128" s="101"/>
      <c r="C128" s="69">
        <f>3419.94+11.7+1030.78+537.6+162.4+40+2868.46+842.06384+116+42+128.08+38.36+0.5+3195.2+966.73+503.72+149.6+13</f>
        <v>14066.133839999999</v>
      </c>
      <c r="D128" s="69">
        <f>3851+1151.3+537.6+162.4+39+2884.5+888.3+500+43+136+40+0.5+0.5+5389.1</f>
        <v>15623.199999999999</v>
      </c>
      <c r="E128" s="62">
        <f>130.2+37.8+4236.7+1278.6+3327+996.5+2.1+57.6+4423.9+1324.3+6.4</f>
        <v>15821.099999999999</v>
      </c>
      <c r="F128" s="61">
        <f t="shared" si="4"/>
        <v>1557.0661600000003</v>
      </c>
      <c r="G128" s="62" t="s">
        <v>258</v>
      </c>
      <c r="H128" s="61">
        <f t="shared" si="2"/>
        <v>197.89999999999964</v>
      </c>
      <c r="I128" s="62" t="s">
        <v>220</v>
      </c>
      <c r="J128" s="62" t="s">
        <v>240</v>
      </c>
    </row>
    <row r="129" spans="1:10" s="1" customFormat="1" ht="81.75" customHeight="1">
      <c r="A129" s="84" t="s">
        <v>171</v>
      </c>
      <c r="B129" s="101"/>
      <c r="C129" s="69">
        <f>1255+158.13+72.33+776.4</f>
        <v>2261.86</v>
      </c>
      <c r="D129" s="69">
        <f>2619.3-200</f>
        <v>2419.3</v>
      </c>
      <c r="E129" s="62">
        <f>1355.8+260+809.7+72</f>
        <v>2497.5</v>
      </c>
      <c r="F129" s="61">
        <f t="shared" si="4"/>
        <v>157.44000000000005</v>
      </c>
      <c r="G129" s="62" t="s">
        <v>259</v>
      </c>
      <c r="H129" s="61">
        <f t="shared" si="2"/>
        <v>78.19999999999982</v>
      </c>
      <c r="I129" s="62" t="s">
        <v>217</v>
      </c>
      <c r="J129" s="62"/>
    </row>
    <row r="130" spans="1:10" s="1" customFormat="1" ht="34.5" customHeight="1">
      <c r="A130" s="84" t="s">
        <v>172</v>
      </c>
      <c r="B130" s="101"/>
      <c r="C130" s="69">
        <v>864.2</v>
      </c>
      <c r="D130" s="69">
        <f>1402-200</f>
        <v>1202</v>
      </c>
      <c r="E130" s="62">
        <f>380+1040</f>
        <v>1420</v>
      </c>
      <c r="F130" s="61">
        <f t="shared" si="4"/>
        <v>337.79999999999995</v>
      </c>
      <c r="G130" s="69" t="s">
        <v>252</v>
      </c>
      <c r="H130" s="61">
        <f t="shared" si="2"/>
        <v>218</v>
      </c>
      <c r="I130" s="62" t="s">
        <v>243</v>
      </c>
      <c r="J130" s="62" t="s">
        <v>242</v>
      </c>
    </row>
    <row r="131" spans="1:10" s="1" customFormat="1" ht="18" customHeight="1">
      <c r="A131" s="85" t="s">
        <v>174</v>
      </c>
      <c r="B131" s="101"/>
      <c r="C131" s="62">
        <f>C127-C128-C129-C130-C133-C132</f>
        <v>3932.0661600000017</v>
      </c>
      <c r="D131" s="62">
        <f>D127-D128-D129-D130-D133-D132</f>
        <v>4558.1</v>
      </c>
      <c r="E131" s="62">
        <f>E127-E128-E129-E130-E133-E132</f>
        <v>4757.299999999996</v>
      </c>
      <c r="F131" s="61">
        <f t="shared" si="4"/>
        <v>626.0338399999987</v>
      </c>
      <c r="G131" s="62"/>
      <c r="H131" s="61">
        <f t="shared" si="2"/>
        <v>199.19999999999527</v>
      </c>
      <c r="I131" s="62"/>
      <c r="J131" s="62"/>
    </row>
    <row r="132" spans="1:10" s="1" customFormat="1" ht="111.75" customHeight="1">
      <c r="A132" s="85" t="s">
        <v>175</v>
      </c>
      <c r="B132" s="101"/>
      <c r="C132" s="62">
        <v>423.6</v>
      </c>
      <c r="D132" s="62">
        <f>1950+160+155.4+100+114+186+130+200+200</f>
        <v>3195.4</v>
      </c>
      <c r="E132" s="62">
        <v>0</v>
      </c>
      <c r="F132" s="61">
        <f t="shared" si="4"/>
        <v>2771.8</v>
      </c>
      <c r="G132" s="62"/>
      <c r="H132" s="61">
        <f t="shared" si="2"/>
        <v>-3195.4</v>
      </c>
      <c r="I132" s="62" t="s">
        <v>245</v>
      </c>
      <c r="J132" s="92" t="s">
        <v>157</v>
      </c>
    </row>
    <row r="133" spans="1:10" s="1" customFormat="1" ht="18" customHeight="1">
      <c r="A133" s="85" t="s">
        <v>176</v>
      </c>
      <c r="B133" s="101"/>
      <c r="C133" s="62">
        <v>0</v>
      </c>
      <c r="D133" s="62">
        <v>0</v>
      </c>
      <c r="E133" s="62">
        <v>0</v>
      </c>
      <c r="F133" s="61">
        <f t="shared" si="4"/>
        <v>0</v>
      </c>
      <c r="G133" s="62"/>
      <c r="H133" s="61">
        <f t="shared" si="2"/>
        <v>0</v>
      </c>
      <c r="I133" s="62"/>
      <c r="J133" s="92" t="s">
        <v>157</v>
      </c>
    </row>
    <row r="134" spans="1:10" s="1" customFormat="1" ht="18" customHeight="1">
      <c r="A134" s="29" t="s">
        <v>187</v>
      </c>
      <c r="B134" s="101" t="s">
        <v>112</v>
      </c>
      <c r="C134" s="62">
        <v>8470.67</v>
      </c>
      <c r="D134" s="62">
        <v>11904.4</v>
      </c>
      <c r="E134" s="62">
        <v>10265.6</v>
      </c>
      <c r="F134" s="61">
        <f t="shared" si="4"/>
        <v>3433.7299999999996</v>
      </c>
      <c r="G134" s="62"/>
      <c r="H134" s="61">
        <f t="shared" si="2"/>
        <v>-1638.7999999999993</v>
      </c>
      <c r="I134" s="62"/>
      <c r="J134" s="92" t="s">
        <v>157</v>
      </c>
    </row>
    <row r="135" spans="1:10" s="1" customFormat="1" ht="48.75" customHeight="1">
      <c r="A135" s="84" t="s">
        <v>170</v>
      </c>
      <c r="B135" s="101"/>
      <c r="C135" s="62">
        <f>862.49+36.68+266.17+1130.19+335.21+3091.3+932.62</f>
        <v>6654.66</v>
      </c>
      <c r="D135" s="62">
        <f>833.1+36.7+262.7+1174.5+354.7+4080+1230</f>
        <v>7971.7</v>
      </c>
      <c r="E135" s="62">
        <f>4308.3+1315.4+111.7+812.7+36.7+256.5+47.8+1174.5+354.7+31.7+9.6</f>
        <v>8459.600000000002</v>
      </c>
      <c r="F135" s="61">
        <f t="shared" si="4"/>
        <v>1317.04</v>
      </c>
      <c r="G135" s="62" t="s">
        <v>258</v>
      </c>
      <c r="H135" s="61">
        <f t="shared" si="2"/>
        <v>487.90000000000236</v>
      </c>
      <c r="I135" s="106" t="s">
        <v>220</v>
      </c>
      <c r="J135" s="62" t="s">
        <v>240</v>
      </c>
    </row>
    <row r="136" spans="1:10" s="1" customFormat="1" ht="18" customHeight="1">
      <c r="A136" s="84" t="s">
        <v>171</v>
      </c>
      <c r="B136" s="101"/>
      <c r="C136" s="62">
        <f>332.62</f>
        <v>332.62</v>
      </c>
      <c r="D136" s="62">
        <f>26+324-10</f>
        <v>340</v>
      </c>
      <c r="E136" s="62">
        <v>350</v>
      </c>
      <c r="F136" s="61">
        <f t="shared" si="4"/>
        <v>7.3799999999999955</v>
      </c>
      <c r="G136" s="62" t="s">
        <v>217</v>
      </c>
      <c r="H136" s="61">
        <f t="shared" si="2"/>
        <v>10</v>
      </c>
      <c r="I136" s="62" t="s">
        <v>217</v>
      </c>
      <c r="J136" s="62" t="s">
        <v>242</v>
      </c>
    </row>
    <row r="137" spans="1:10" s="1" customFormat="1" ht="126" customHeight="1">
      <c r="A137" s="84" t="s">
        <v>184</v>
      </c>
      <c r="B137" s="101"/>
      <c r="C137" s="62">
        <f>C134-C135-C136</f>
        <v>1483.3900000000003</v>
      </c>
      <c r="D137" s="62">
        <f>D134-D135-D136</f>
        <v>3592.7</v>
      </c>
      <c r="E137" s="62">
        <f>E134-E135-E136</f>
        <v>1455.9999999999982</v>
      </c>
      <c r="F137" s="61">
        <f t="shared" si="4"/>
        <v>2109.3099999999995</v>
      </c>
      <c r="G137" s="62" t="s">
        <v>226</v>
      </c>
      <c r="H137" s="61">
        <f t="shared" si="2"/>
        <v>-2136.7000000000016</v>
      </c>
      <c r="I137" s="62" t="s">
        <v>226</v>
      </c>
      <c r="J137" s="62" t="s">
        <v>242</v>
      </c>
    </row>
    <row r="138" spans="1:10" s="17" customFormat="1" ht="18" customHeight="1">
      <c r="A138" s="32" t="s">
        <v>113</v>
      </c>
      <c r="B138" s="103" t="s">
        <v>114</v>
      </c>
      <c r="C138" s="72">
        <v>0</v>
      </c>
      <c r="D138" s="59">
        <v>0</v>
      </c>
      <c r="E138" s="59">
        <v>0</v>
      </c>
      <c r="F138" s="58">
        <f t="shared" si="4"/>
        <v>0</v>
      </c>
      <c r="G138" s="59"/>
      <c r="H138" s="58">
        <f t="shared" si="2"/>
        <v>0</v>
      </c>
      <c r="I138" s="59"/>
      <c r="J138" s="91" t="s">
        <v>157</v>
      </c>
    </row>
    <row r="139" spans="1:10" s="17" customFormat="1" ht="17.25" customHeight="1">
      <c r="A139" s="32" t="s">
        <v>115</v>
      </c>
      <c r="B139" s="100" t="s">
        <v>116</v>
      </c>
      <c r="C139" s="70">
        <f>C140+C141+C142+C143</f>
        <v>1095.9</v>
      </c>
      <c r="D139" s="70">
        <f>D140+D141+D142+D143</f>
        <v>1205.04</v>
      </c>
      <c r="E139" s="70">
        <f>E140+E141+E142+E143</f>
        <v>810</v>
      </c>
      <c r="F139" s="58">
        <f t="shared" si="4"/>
        <v>109.13999999999987</v>
      </c>
      <c r="G139" s="59"/>
      <c r="H139" s="58">
        <f t="shared" si="2"/>
        <v>-395.03999999999996</v>
      </c>
      <c r="I139" s="59"/>
      <c r="J139" s="91" t="s">
        <v>157</v>
      </c>
    </row>
    <row r="140" spans="1:10" s="1" customFormat="1" ht="41.25" customHeight="1">
      <c r="A140" s="29" t="s">
        <v>117</v>
      </c>
      <c r="B140" s="101" t="s">
        <v>118</v>
      </c>
      <c r="C140" s="62">
        <v>914.54</v>
      </c>
      <c r="D140" s="62">
        <v>950</v>
      </c>
      <c r="E140" s="62">
        <v>750</v>
      </c>
      <c r="F140" s="61">
        <f t="shared" si="4"/>
        <v>35.460000000000036</v>
      </c>
      <c r="G140" s="62"/>
      <c r="H140" s="61">
        <f t="shared" si="2"/>
        <v>-200</v>
      </c>
      <c r="I140" s="62" t="s">
        <v>260</v>
      </c>
      <c r="J140" s="92" t="s">
        <v>157</v>
      </c>
    </row>
    <row r="141" spans="1:10" s="1" customFormat="1" ht="60" customHeight="1">
      <c r="A141" s="29" t="s">
        <v>119</v>
      </c>
      <c r="B141" s="101" t="s">
        <v>120</v>
      </c>
      <c r="C141" s="62">
        <v>10</v>
      </c>
      <c r="D141" s="62">
        <v>40</v>
      </c>
      <c r="E141" s="62">
        <v>0</v>
      </c>
      <c r="F141" s="61">
        <f t="shared" si="4"/>
        <v>30</v>
      </c>
      <c r="G141" s="62" t="s">
        <v>227</v>
      </c>
      <c r="H141" s="61">
        <f t="shared" si="2"/>
        <v>-40</v>
      </c>
      <c r="I141" s="62" t="s">
        <v>261</v>
      </c>
      <c r="J141" s="92" t="s">
        <v>157</v>
      </c>
    </row>
    <row r="142" spans="1:10" s="1" customFormat="1" ht="87" customHeight="1">
      <c r="A142" s="29" t="s">
        <v>121</v>
      </c>
      <c r="B142" s="101" t="s">
        <v>122</v>
      </c>
      <c r="C142" s="62">
        <v>171.36</v>
      </c>
      <c r="D142" s="62">
        <v>215.04</v>
      </c>
      <c r="E142" s="62">
        <v>60</v>
      </c>
      <c r="F142" s="61">
        <f t="shared" si="4"/>
        <v>43.67999999999998</v>
      </c>
      <c r="G142" s="62" t="s">
        <v>228</v>
      </c>
      <c r="H142" s="61">
        <f t="shared" si="2"/>
        <v>-155.04</v>
      </c>
      <c r="I142" s="62" t="s">
        <v>262</v>
      </c>
      <c r="J142" s="92" t="s">
        <v>157</v>
      </c>
    </row>
    <row r="143" spans="1:10" s="1" customFormat="1" ht="17.25" customHeight="1">
      <c r="A143" s="29" t="s">
        <v>123</v>
      </c>
      <c r="B143" s="101" t="s">
        <v>124</v>
      </c>
      <c r="C143" s="62"/>
      <c r="D143" s="62"/>
      <c r="E143" s="62"/>
      <c r="F143" s="61">
        <f t="shared" si="4"/>
        <v>0</v>
      </c>
      <c r="G143" s="62"/>
      <c r="H143" s="61">
        <f t="shared" si="2"/>
        <v>0</v>
      </c>
      <c r="I143" s="62"/>
      <c r="J143" s="92" t="s">
        <v>157</v>
      </c>
    </row>
    <row r="144" spans="1:10" s="17" customFormat="1" ht="17.25" customHeight="1">
      <c r="A144" s="32" t="s">
        <v>188</v>
      </c>
      <c r="B144" s="100" t="s">
        <v>125</v>
      </c>
      <c r="C144" s="70">
        <f>C145+C152+C158</f>
        <v>7564.85</v>
      </c>
      <c r="D144" s="70">
        <f>D145+D152+D158</f>
        <v>5341.2</v>
      </c>
      <c r="E144" s="70">
        <f>E145+E152+E158</f>
        <v>5584.1</v>
      </c>
      <c r="F144" s="70">
        <f t="shared" si="4"/>
        <v>-2223.6500000000005</v>
      </c>
      <c r="G144" s="59"/>
      <c r="H144" s="70">
        <f t="shared" si="2"/>
        <v>242.90000000000055</v>
      </c>
      <c r="I144" s="59"/>
      <c r="J144" s="91" t="s">
        <v>157</v>
      </c>
    </row>
    <row r="145" spans="1:10" s="17" customFormat="1" ht="17.25" customHeight="1">
      <c r="A145" s="71" t="s">
        <v>189</v>
      </c>
      <c r="B145" s="102" t="s">
        <v>126</v>
      </c>
      <c r="C145" s="59"/>
      <c r="D145" s="59"/>
      <c r="E145" s="59"/>
      <c r="F145" s="61">
        <f t="shared" si="4"/>
        <v>0</v>
      </c>
      <c r="G145" s="59"/>
      <c r="H145" s="61">
        <f t="shared" si="2"/>
        <v>0</v>
      </c>
      <c r="I145" s="59"/>
      <c r="J145" s="91" t="s">
        <v>157</v>
      </c>
    </row>
    <row r="146" spans="1:10" s="17" customFormat="1" ht="17.25" customHeight="1">
      <c r="A146" s="84" t="s">
        <v>170</v>
      </c>
      <c r="B146" s="102"/>
      <c r="C146" s="59"/>
      <c r="D146" s="59"/>
      <c r="E146" s="59"/>
      <c r="F146" s="61">
        <f t="shared" si="4"/>
        <v>0</v>
      </c>
      <c r="G146" s="59"/>
      <c r="H146" s="61">
        <f t="shared" si="2"/>
        <v>0</v>
      </c>
      <c r="I146" s="59"/>
      <c r="J146" s="59"/>
    </row>
    <row r="147" spans="1:10" s="17" customFormat="1" ht="17.25" customHeight="1">
      <c r="A147" s="84" t="s">
        <v>171</v>
      </c>
      <c r="B147" s="102"/>
      <c r="C147" s="59"/>
      <c r="D147" s="59"/>
      <c r="E147" s="59"/>
      <c r="F147" s="61">
        <f t="shared" si="4"/>
        <v>0</v>
      </c>
      <c r="G147" s="59"/>
      <c r="H147" s="61">
        <f t="shared" si="2"/>
        <v>0</v>
      </c>
      <c r="I147" s="59"/>
      <c r="J147" s="59"/>
    </row>
    <row r="148" spans="1:10" s="1" customFormat="1" ht="16.5" customHeight="1">
      <c r="A148" s="84" t="s">
        <v>172</v>
      </c>
      <c r="B148" s="101"/>
      <c r="C148" s="62"/>
      <c r="D148" s="62"/>
      <c r="E148" s="62"/>
      <c r="F148" s="61"/>
      <c r="G148" s="62"/>
      <c r="H148" s="61"/>
      <c r="I148" s="62"/>
      <c r="J148" s="62"/>
    </row>
    <row r="149" spans="1:10" s="17" customFormat="1" ht="17.25" customHeight="1">
      <c r="A149" s="85" t="s">
        <v>162</v>
      </c>
      <c r="B149" s="102"/>
      <c r="C149" s="59"/>
      <c r="D149" s="59"/>
      <c r="E149" s="59"/>
      <c r="F149" s="61">
        <f t="shared" si="4"/>
        <v>0</v>
      </c>
      <c r="G149" s="59"/>
      <c r="H149" s="61">
        <f t="shared" si="2"/>
        <v>0</v>
      </c>
      <c r="I149" s="59"/>
      <c r="J149" s="59"/>
    </row>
    <row r="150" spans="1:10" s="17" customFormat="1" ht="17.25" customHeight="1">
      <c r="A150" s="85" t="s">
        <v>163</v>
      </c>
      <c r="B150" s="102"/>
      <c r="C150" s="59"/>
      <c r="D150" s="59"/>
      <c r="E150" s="59"/>
      <c r="F150" s="61">
        <f t="shared" si="4"/>
        <v>0</v>
      </c>
      <c r="G150" s="59"/>
      <c r="H150" s="61">
        <f t="shared" si="2"/>
        <v>0</v>
      </c>
      <c r="I150" s="59"/>
      <c r="J150" s="91" t="s">
        <v>157</v>
      </c>
    </row>
    <row r="151" spans="1:10" s="17" customFormat="1" ht="17.25" customHeight="1">
      <c r="A151" s="85" t="s">
        <v>164</v>
      </c>
      <c r="B151" s="102"/>
      <c r="C151" s="59"/>
      <c r="D151" s="59"/>
      <c r="E151" s="59"/>
      <c r="F151" s="61">
        <f t="shared" si="4"/>
        <v>0</v>
      </c>
      <c r="G151" s="59"/>
      <c r="H151" s="61">
        <f t="shared" si="2"/>
        <v>0</v>
      </c>
      <c r="I151" s="59"/>
      <c r="J151" s="91" t="s">
        <v>157</v>
      </c>
    </row>
    <row r="152" spans="1:10" s="1" customFormat="1" ht="63" customHeight="1">
      <c r="A152" s="29" t="s">
        <v>190</v>
      </c>
      <c r="B152" s="101" t="s">
        <v>127</v>
      </c>
      <c r="C152" s="62">
        <v>6962</v>
      </c>
      <c r="D152" s="62">
        <v>4601.2</v>
      </c>
      <c r="E152" s="62">
        <v>4844.1</v>
      </c>
      <c r="F152" s="61">
        <f t="shared" si="4"/>
        <v>-2360.8</v>
      </c>
      <c r="G152" s="62"/>
      <c r="H152" s="61">
        <f t="shared" si="2"/>
        <v>242.90000000000055</v>
      </c>
      <c r="I152" s="62"/>
      <c r="J152" s="92" t="s">
        <v>157</v>
      </c>
    </row>
    <row r="153" spans="1:10" s="1" customFormat="1" ht="60" customHeight="1">
      <c r="A153" s="84" t="s">
        <v>154</v>
      </c>
      <c r="B153" s="101"/>
      <c r="C153" s="62">
        <f>1917.6+577.65</f>
        <v>2495.25</v>
      </c>
      <c r="D153" s="62">
        <v>2760</v>
      </c>
      <c r="E153" s="62">
        <f>2191.9+662+36.3</f>
        <v>2890.2000000000003</v>
      </c>
      <c r="F153" s="61">
        <f t="shared" si="4"/>
        <v>264.75</v>
      </c>
      <c r="G153" s="62" t="s">
        <v>263</v>
      </c>
      <c r="H153" s="61">
        <f t="shared" si="2"/>
        <v>130.20000000000027</v>
      </c>
      <c r="I153" s="62" t="s">
        <v>220</v>
      </c>
      <c r="J153" s="62" t="s">
        <v>240</v>
      </c>
    </row>
    <row r="154" spans="1:10" s="1" customFormat="1" ht="82.5" customHeight="1">
      <c r="A154" s="84" t="s">
        <v>159</v>
      </c>
      <c r="B154" s="101"/>
      <c r="C154" s="62">
        <v>542.8</v>
      </c>
      <c r="D154" s="62">
        <f>679.6-40</f>
        <v>639.6</v>
      </c>
      <c r="E154" s="62">
        <v>682.9</v>
      </c>
      <c r="F154" s="61">
        <f t="shared" si="4"/>
        <v>96.80000000000007</v>
      </c>
      <c r="G154" s="62" t="s">
        <v>259</v>
      </c>
      <c r="H154" s="61">
        <f t="shared" si="2"/>
        <v>43.299999999999955</v>
      </c>
      <c r="I154" s="62" t="s">
        <v>217</v>
      </c>
      <c r="J154" s="62" t="s">
        <v>242</v>
      </c>
    </row>
    <row r="155" spans="1:10" s="1" customFormat="1" ht="45.75" customHeight="1">
      <c r="A155" s="85" t="s">
        <v>162</v>
      </c>
      <c r="B155" s="101"/>
      <c r="C155" s="62">
        <f>C152-C153-C154</f>
        <v>3923.95</v>
      </c>
      <c r="D155" s="62">
        <f>D152-D153-D154</f>
        <v>1201.6</v>
      </c>
      <c r="E155" s="62">
        <f>E152-E153-E154</f>
        <v>1271</v>
      </c>
      <c r="F155" s="61">
        <f t="shared" si="4"/>
        <v>-2722.35</v>
      </c>
      <c r="G155" s="62" t="s">
        <v>229</v>
      </c>
      <c r="H155" s="61">
        <f t="shared" si="2"/>
        <v>69.40000000000009</v>
      </c>
      <c r="I155" s="62" t="s">
        <v>214</v>
      </c>
      <c r="J155" s="62" t="s">
        <v>242</v>
      </c>
    </row>
    <row r="156" spans="1:10" s="1" customFormat="1" ht="17.25" customHeight="1">
      <c r="A156" s="85" t="s">
        <v>163</v>
      </c>
      <c r="B156" s="101"/>
      <c r="C156" s="69">
        <v>0</v>
      </c>
      <c r="D156" s="69">
        <v>0</v>
      </c>
      <c r="E156" s="62">
        <v>0</v>
      </c>
      <c r="F156" s="61">
        <f t="shared" si="4"/>
        <v>0</v>
      </c>
      <c r="G156" s="62"/>
      <c r="H156" s="61">
        <f t="shared" si="2"/>
        <v>0</v>
      </c>
      <c r="I156" s="62"/>
      <c r="J156" s="92" t="s">
        <v>157</v>
      </c>
    </row>
    <row r="157" spans="1:10" s="1" customFormat="1" ht="17.25" customHeight="1">
      <c r="A157" s="85" t="s">
        <v>164</v>
      </c>
      <c r="B157" s="101"/>
      <c r="C157" s="62">
        <v>0</v>
      </c>
      <c r="D157" s="62">
        <v>0</v>
      </c>
      <c r="E157" s="62">
        <v>0</v>
      </c>
      <c r="F157" s="61">
        <f t="shared" si="4"/>
        <v>0</v>
      </c>
      <c r="G157" s="62"/>
      <c r="H157" s="61">
        <f t="shared" si="2"/>
        <v>0</v>
      </c>
      <c r="I157" s="62"/>
      <c r="J157" s="92" t="s">
        <v>157</v>
      </c>
    </row>
    <row r="158" spans="1:10" s="1" customFormat="1" ht="82.5" customHeight="1">
      <c r="A158" s="29" t="s">
        <v>192</v>
      </c>
      <c r="B158" s="101" t="s">
        <v>128</v>
      </c>
      <c r="C158" s="62">
        <v>602.85</v>
      </c>
      <c r="D158" s="62">
        <v>740</v>
      </c>
      <c r="E158" s="62">
        <v>740</v>
      </c>
      <c r="F158" s="61">
        <f t="shared" si="4"/>
        <v>137.14999999999998</v>
      </c>
      <c r="G158" s="62" t="s">
        <v>230</v>
      </c>
      <c r="H158" s="61">
        <f t="shared" si="2"/>
        <v>0</v>
      </c>
      <c r="I158" s="62"/>
      <c r="J158" s="92" t="s">
        <v>157</v>
      </c>
    </row>
    <row r="159" spans="1:10" s="1" customFormat="1" ht="17.25" customHeight="1">
      <c r="A159" s="84" t="s">
        <v>154</v>
      </c>
      <c r="B159" s="101"/>
      <c r="C159" s="62"/>
      <c r="D159" s="62"/>
      <c r="E159" s="62"/>
      <c r="F159" s="61">
        <f t="shared" si="4"/>
        <v>0</v>
      </c>
      <c r="G159" s="62"/>
      <c r="H159" s="61">
        <f t="shared" si="2"/>
        <v>0</v>
      </c>
      <c r="I159" s="62"/>
      <c r="J159" s="62"/>
    </row>
    <row r="160" spans="1:10" s="1" customFormat="1" ht="17.25" customHeight="1">
      <c r="A160" s="84" t="s">
        <v>159</v>
      </c>
      <c r="B160" s="101"/>
      <c r="C160" s="62"/>
      <c r="D160" s="62"/>
      <c r="E160" s="62"/>
      <c r="F160" s="61">
        <f t="shared" si="4"/>
        <v>0</v>
      </c>
      <c r="G160" s="62"/>
      <c r="H160" s="61">
        <f t="shared" si="2"/>
        <v>0</v>
      </c>
      <c r="I160" s="62"/>
      <c r="J160" s="62"/>
    </row>
    <row r="161" spans="1:10" s="1" customFormat="1" ht="17.25" customHeight="1">
      <c r="A161" s="84" t="s">
        <v>153</v>
      </c>
      <c r="B161" s="101"/>
      <c r="C161" s="62">
        <f>C158-C159-C160</f>
        <v>602.85</v>
      </c>
      <c r="D161" s="62">
        <v>740</v>
      </c>
      <c r="E161" s="62">
        <v>740</v>
      </c>
      <c r="F161" s="61">
        <f t="shared" si="4"/>
        <v>137.14999999999998</v>
      </c>
      <c r="G161" s="62"/>
      <c r="H161" s="61">
        <f t="shared" si="2"/>
        <v>0</v>
      </c>
      <c r="I161" s="62"/>
      <c r="J161" s="62"/>
    </row>
    <row r="162" spans="1:10" s="17" customFormat="1" ht="18" customHeight="1">
      <c r="A162" s="32" t="s">
        <v>129</v>
      </c>
      <c r="B162" s="100" t="s">
        <v>130</v>
      </c>
      <c r="C162" s="70">
        <f>C163+C164+C165</f>
        <v>760</v>
      </c>
      <c r="D162" s="70">
        <f>D163+D164+D165</f>
        <v>700</v>
      </c>
      <c r="E162" s="70">
        <f>E163+E164+E165</f>
        <v>700</v>
      </c>
      <c r="F162" s="58">
        <f t="shared" si="4"/>
        <v>-60</v>
      </c>
      <c r="G162" s="59"/>
      <c r="H162" s="58">
        <f t="shared" si="2"/>
        <v>0</v>
      </c>
      <c r="I162" s="59"/>
      <c r="J162" s="91" t="s">
        <v>157</v>
      </c>
    </row>
    <row r="163" spans="1:10" s="46" customFormat="1" ht="18" customHeight="1">
      <c r="A163" s="73" t="s">
        <v>131</v>
      </c>
      <c r="B163" s="102" t="s">
        <v>132</v>
      </c>
      <c r="C163" s="67"/>
      <c r="D163" s="67"/>
      <c r="E163" s="67"/>
      <c r="F163" s="66">
        <f t="shared" si="4"/>
        <v>0</v>
      </c>
      <c r="G163" s="67"/>
      <c r="H163" s="66">
        <f t="shared" si="2"/>
        <v>0</v>
      </c>
      <c r="I163" s="67"/>
      <c r="J163" s="93" t="s">
        <v>157</v>
      </c>
    </row>
    <row r="164" spans="1:10" s="46" customFormat="1" ht="18" customHeight="1">
      <c r="A164" s="73" t="s">
        <v>133</v>
      </c>
      <c r="B164" s="102" t="s">
        <v>134</v>
      </c>
      <c r="C164" s="67"/>
      <c r="D164" s="67"/>
      <c r="E164" s="67"/>
      <c r="F164" s="66">
        <f t="shared" si="4"/>
        <v>0</v>
      </c>
      <c r="G164" s="67"/>
      <c r="H164" s="66">
        <f t="shared" si="2"/>
        <v>0</v>
      </c>
      <c r="I164" s="67"/>
      <c r="J164" s="93" t="s">
        <v>157</v>
      </c>
    </row>
    <row r="165" spans="1:10" s="1" customFormat="1" ht="75.75" customHeight="1">
      <c r="A165" s="29" t="s">
        <v>135</v>
      </c>
      <c r="B165" s="101" t="s">
        <v>136</v>
      </c>
      <c r="C165" s="62">
        <v>760</v>
      </c>
      <c r="D165" s="62">
        <v>700</v>
      </c>
      <c r="E165" s="62">
        <v>700</v>
      </c>
      <c r="F165" s="61">
        <f t="shared" si="4"/>
        <v>-60</v>
      </c>
      <c r="G165" s="62" t="s">
        <v>231</v>
      </c>
      <c r="H165" s="61">
        <f t="shared" si="2"/>
        <v>0</v>
      </c>
      <c r="I165" s="62"/>
      <c r="J165" s="92" t="s">
        <v>157</v>
      </c>
    </row>
    <row r="166" spans="1:10" s="17" customFormat="1" ht="24" customHeight="1">
      <c r="A166" s="32" t="s">
        <v>137</v>
      </c>
      <c r="B166" s="100" t="s">
        <v>138</v>
      </c>
      <c r="C166" s="59">
        <v>0</v>
      </c>
      <c r="D166" s="59">
        <v>0</v>
      </c>
      <c r="E166" s="59">
        <v>0</v>
      </c>
      <c r="F166" s="58">
        <f t="shared" si="4"/>
        <v>0</v>
      </c>
      <c r="G166" s="59"/>
      <c r="H166" s="58">
        <f t="shared" si="2"/>
        <v>0</v>
      </c>
      <c r="I166" s="59"/>
      <c r="J166" s="91" t="s">
        <v>157</v>
      </c>
    </row>
    <row r="167" spans="1:10" s="17" customFormat="1" ht="30" customHeight="1">
      <c r="A167" s="32" t="s">
        <v>139</v>
      </c>
      <c r="B167" s="100" t="s">
        <v>140</v>
      </c>
      <c r="C167" s="70">
        <f>C168+C169+C170</f>
        <v>0</v>
      </c>
      <c r="D167" s="70">
        <f>D168+D169+D170</f>
        <v>0</v>
      </c>
      <c r="E167" s="70">
        <f>E168+E169+E170</f>
        <v>0</v>
      </c>
      <c r="F167" s="58">
        <f t="shared" si="4"/>
        <v>0</v>
      </c>
      <c r="G167" s="59"/>
      <c r="H167" s="58">
        <f t="shared" si="2"/>
        <v>0</v>
      </c>
      <c r="I167" s="59"/>
      <c r="J167" s="91" t="s">
        <v>157</v>
      </c>
    </row>
    <row r="168" spans="1:10" s="1" customFormat="1" ht="33" customHeight="1">
      <c r="A168" s="29" t="s">
        <v>141</v>
      </c>
      <c r="B168" s="101" t="s">
        <v>142</v>
      </c>
      <c r="C168" s="62">
        <v>0</v>
      </c>
      <c r="D168" s="62">
        <v>0</v>
      </c>
      <c r="E168" s="62">
        <v>0</v>
      </c>
      <c r="F168" s="61">
        <f t="shared" si="4"/>
        <v>0</v>
      </c>
      <c r="G168" s="62"/>
      <c r="H168" s="61">
        <f t="shared" si="2"/>
        <v>0</v>
      </c>
      <c r="I168" s="62"/>
      <c r="J168" s="92" t="s">
        <v>157</v>
      </c>
    </row>
    <row r="169" spans="1:10" s="1" customFormat="1" ht="24" customHeight="1">
      <c r="A169" s="29" t="s">
        <v>143</v>
      </c>
      <c r="B169" s="101" t="s">
        <v>144</v>
      </c>
      <c r="C169" s="62">
        <v>0</v>
      </c>
      <c r="D169" s="62">
        <v>0</v>
      </c>
      <c r="E169" s="62">
        <v>0</v>
      </c>
      <c r="F169" s="61">
        <f aca="true" t="shared" si="5" ref="F169:F176">D169-C169</f>
        <v>0</v>
      </c>
      <c r="G169" s="62"/>
      <c r="H169" s="61">
        <f t="shared" si="2"/>
        <v>0</v>
      </c>
      <c r="I169" s="62"/>
      <c r="J169" s="92" t="s">
        <v>157</v>
      </c>
    </row>
    <row r="170" spans="1:10" s="1" customFormat="1" ht="24" customHeight="1">
      <c r="A170" s="74" t="s">
        <v>145</v>
      </c>
      <c r="B170" s="104" t="s">
        <v>146</v>
      </c>
      <c r="C170" s="75">
        <v>0</v>
      </c>
      <c r="D170" s="75">
        <v>0</v>
      </c>
      <c r="E170" s="75">
        <v>0</v>
      </c>
      <c r="F170" s="76">
        <f t="shared" si="5"/>
        <v>0</v>
      </c>
      <c r="G170" s="75"/>
      <c r="H170" s="76">
        <f t="shared" si="2"/>
        <v>0</v>
      </c>
      <c r="I170" s="75"/>
      <c r="J170" s="94" t="s">
        <v>157</v>
      </c>
    </row>
    <row r="171" spans="1:10" s="17" customFormat="1" ht="24" customHeight="1">
      <c r="A171" s="53" t="s">
        <v>147</v>
      </c>
      <c r="B171" s="53"/>
      <c r="C171" s="56">
        <f>229886+111.1</f>
        <v>229997.1</v>
      </c>
      <c r="D171" s="56">
        <f>19980.16+218781.2</f>
        <v>238761.36000000002</v>
      </c>
      <c r="E171" s="56">
        <v>222153.6</v>
      </c>
      <c r="F171" s="77">
        <f t="shared" si="5"/>
        <v>8764.26000000001</v>
      </c>
      <c r="G171" s="56"/>
      <c r="H171" s="55">
        <f t="shared" si="2"/>
        <v>-16607.76000000001</v>
      </c>
      <c r="I171" s="56"/>
      <c r="J171" s="95" t="s">
        <v>157</v>
      </c>
    </row>
    <row r="172" spans="1:10" s="5" customFormat="1" ht="24" customHeight="1">
      <c r="A172" s="78" t="s">
        <v>148</v>
      </c>
      <c r="B172" s="78"/>
      <c r="C172" s="79">
        <f>C8-C31</f>
        <v>14560.899999999965</v>
      </c>
      <c r="D172" s="79">
        <f>D8-D31</f>
        <v>1054.1900000000023</v>
      </c>
      <c r="E172" s="79">
        <f>E8-E31</f>
        <v>0</v>
      </c>
      <c r="F172" s="80">
        <f t="shared" si="5"/>
        <v>-13506.709999999963</v>
      </c>
      <c r="G172" s="81"/>
      <c r="H172" s="82">
        <f>E172-D172</f>
        <v>-1054.1900000000023</v>
      </c>
      <c r="I172" s="81"/>
      <c r="J172" s="96" t="s">
        <v>157</v>
      </c>
    </row>
    <row r="173" spans="1:10" s="5" customFormat="1" ht="28.5" customHeight="1">
      <c r="A173" s="78" t="s">
        <v>149</v>
      </c>
      <c r="B173" s="78"/>
      <c r="C173" s="79">
        <f>C29-C32</f>
        <v>13716.699999999983</v>
      </c>
      <c r="D173" s="79">
        <f>D29-D32</f>
        <v>2466.25</v>
      </c>
      <c r="E173" s="79">
        <f>E29-E32</f>
        <v>0</v>
      </c>
      <c r="F173" s="80">
        <f t="shared" si="5"/>
        <v>-11250.449999999983</v>
      </c>
      <c r="G173" s="81"/>
      <c r="H173" s="82">
        <f t="shared" si="2"/>
        <v>-2466.25</v>
      </c>
      <c r="I173" s="81"/>
      <c r="J173" s="96" t="s">
        <v>157</v>
      </c>
    </row>
    <row r="174" spans="1:10" s="5" customFormat="1" ht="28.5" customHeight="1">
      <c r="A174" s="78" t="s">
        <v>150</v>
      </c>
      <c r="B174" s="78"/>
      <c r="C174" s="79">
        <f>C26-C171</f>
        <v>844.1999999999825</v>
      </c>
      <c r="D174" s="79">
        <f>D26-D171</f>
        <v>-1412.0600000000268</v>
      </c>
      <c r="E174" s="79">
        <f>E26-E171</f>
        <v>0</v>
      </c>
      <c r="F174" s="80">
        <f t="shared" si="5"/>
        <v>-2256.2600000000093</v>
      </c>
      <c r="G174" s="81"/>
      <c r="H174" s="82">
        <f t="shared" si="2"/>
        <v>1412.0600000000268</v>
      </c>
      <c r="I174" s="81"/>
      <c r="J174" s="96" t="s">
        <v>157</v>
      </c>
    </row>
    <row r="175" spans="1:10" s="5" customFormat="1" ht="28.5" customHeight="1">
      <c r="A175" s="78" t="s">
        <v>151</v>
      </c>
      <c r="B175" s="78"/>
      <c r="C175" s="83">
        <v>26753.26</v>
      </c>
      <c r="D175" s="83"/>
      <c r="E175" s="83"/>
      <c r="F175" s="80">
        <f t="shared" si="5"/>
        <v>-26753.26</v>
      </c>
      <c r="G175" s="81"/>
      <c r="H175" s="82">
        <f t="shared" si="2"/>
        <v>0</v>
      </c>
      <c r="I175" s="81"/>
      <c r="J175" s="96" t="s">
        <v>157</v>
      </c>
    </row>
    <row r="176" spans="1:10" s="5" customFormat="1" ht="33.75" customHeight="1">
      <c r="A176" s="78" t="s">
        <v>152</v>
      </c>
      <c r="B176" s="78"/>
      <c r="C176" s="83">
        <v>216.74</v>
      </c>
      <c r="D176" s="83"/>
      <c r="E176" s="83">
        <v>0</v>
      </c>
      <c r="F176" s="80">
        <f t="shared" si="5"/>
        <v>-216.74</v>
      </c>
      <c r="G176" s="81"/>
      <c r="H176" s="82">
        <f>E176-D176</f>
        <v>0</v>
      </c>
      <c r="I176" s="81"/>
      <c r="J176" s="96" t="s">
        <v>157</v>
      </c>
    </row>
    <row r="178" spans="1:10" ht="54" customHeight="1">
      <c r="A178" s="113" t="s">
        <v>191</v>
      </c>
      <c r="B178" s="113"/>
      <c r="C178" s="113"/>
      <c r="D178" s="113"/>
      <c r="E178" s="113"/>
      <c r="F178" s="113"/>
      <c r="G178" s="113"/>
      <c r="H178" s="113"/>
      <c r="I178" s="113"/>
      <c r="J178" s="113"/>
    </row>
  </sheetData>
  <sheetProtection/>
  <mergeCells count="13">
    <mergeCell ref="E3:E5"/>
    <mergeCell ref="F3:F5"/>
    <mergeCell ref="G3:G5"/>
    <mergeCell ref="H3:H5"/>
    <mergeCell ref="I3:I5"/>
    <mergeCell ref="G36:G39"/>
    <mergeCell ref="A178:J178"/>
    <mergeCell ref="J3:J5"/>
    <mergeCell ref="A1:J1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portrait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2021-11-29T06:41:49Z</dcterms:modified>
  <cp:category/>
  <cp:version/>
  <cp:contentType/>
  <cp:contentStatus/>
</cp:coreProperties>
</file>